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resa.gonzalez\Documents\1-\1 Entregas de cierre de mes\Estados Financieros\ESTADOS FINANCIEROS 2023\9 Septiembre\"/>
    </mc:Choice>
  </mc:AlternateContent>
  <bookViews>
    <workbookView xWindow="0" yWindow="0" windowWidth="9936" windowHeight="8964" tabRatio="892" firstSheet="3" activeTab="3"/>
  </bookViews>
  <sheets>
    <sheet name="REAL POR ARTICULO 2016" sheetId="7" state="hidden" r:id="rId1"/>
    <sheet name="REAL POR ARTICULO 2017" sheetId="20" state="hidden" r:id="rId2"/>
    <sheet name="REAL POR ARTICULO 2018" sheetId="28" state="hidden" r:id="rId3"/>
    <sheet name="ANALÍTICO" sheetId="29" r:id="rId4"/>
    <sheet name="avance periodo" sheetId="9" state="hidden" r:id="rId5"/>
    <sheet name="avance total" sheetId="15" state="hidden" r:id="rId6"/>
    <sheet name="avance mes" sheetId="18" state="hidden" r:id="rId7"/>
    <sheet name="TOTALES" sheetId="19" state="hidden" r:id="rId8"/>
  </sheets>
  <definedNames>
    <definedName name="_xlnm._FilterDatabase" localSheetId="1" hidden="1">'REAL POR ARTICULO 2017'!$A$4:$B$76</definedName>
    <definedName name="_xlnm._FilterDatabase" localSheetId="2" hidden="1">'REAL POR ARTICULO 2018'!$A$4:$B$77</definedName>
    <definedName name="_xlnm._FilterDatabase" localSheetId="7" hidden="1">TOTALES!$A$1:$H$68</definedName>
    <definedName name="_xlnm.Print_Area" localSheetId="6">'avance mes'!$B$1:$I$68</definedName>
    <definedName name="_xlnm.Print_Area" localSheetId="4">'avance periodo'!$B$1:$I$69</definedName>
  </definedNames>
  <calcPr calcId="162913"/>
</workbook>
</file>

<file path=xl/calcChain.xml><?xml version="1.0" encoding="utf-8"?>
<calcChain xmlns="http://schemas.openxmlformats.org/spreadsheetml/2006/main">
  <c r="B29" i="29" l="1"/>
  <c r="B27" i="29" l="1"/>
  <c r="B26" i="29"/>
  <c r="H36" i="29" l="1"/>
  <c r="E36" i="29"/>
  <c r="C50" i="29"/>
  <c r="E40" i="29" l="1"/>
  <c r="H40" i="29"/>
  <c r="E39" i="29"/>
  <c r="H39" i="29"/>
  <c r="E38" i="29"/>
  <c r="H38" i="29"/>
  <c r="E37" i="29"/>
  <c r="H37" i="29"/>
  <c r="H35" i="29" l="1"/>
  <c r="G50" i="29"/>
  <c r="F50" i="29"/>
  <c r="E35" i="29"/>
  <c r="D50" i="29"/>
  <c r="E50" i="29" s="1"/>
  <c r="H41" i="29"/>
  <c r="H44" i="29"/>
  <c r="H45" i="29"/>
  <c r="H46" i="29"/>
  <c r="H48" i="29"/>
  <c r="E41" i="29"/>
  <c r="H14" i="29"/>
  <c r="E11" i="29"/>
  <c r="D21" i="29" l="1"/>
  <c r="C21" i="29" l="1"/>
  <c r="G21" i="29" l="1"/>
  <c r="F21" i="29"/>
  <c r="H20" i="29"/>
  <c r="E20" i="29"/>
  <c r="H19" i="29"/>
  <c r="E19" i="29"/>
  <c r="H18" i="29"/>
  <c r="E18" i="29"/>
  <c r="H17" i="29"/>
  <c r="E17" i="29"/>
  <c r="H16" i="29"/>
  <c r="E16" i="29"/>
  <c r="H15" i="29"/>
  <c r="E15" i="29"/>
  <c r="E14" i="29"/>
  <c r="H13" i="29"/>
  <c r="H12" i="29"/>
  <c r="E12" i="29"/>
  <c r="H11" i="29"/>
  <c r="H21" i="29" l="1"/>
  <c r="J21" i="29"/>
  <c r="E21" i="29"/>
  <c r="H49" i="29" l="1"/>
  <c r="E49" i="29"/>
  <c r="E48" i="29"/>
  <c r="E46" i="29"/>
  <c r="E45" i="29"/>
  <c r="E44" i="29"/>
  <c r="H50" i="29" l="1"/>
  <c r="K64" i="19" l="1"/>
  <c r="K67" i="19"/>
  <c r="I67" i="19"/>
  <c r="J67" i="19"/>
  <c r="E68" i="18" l="1"/>
  <c r="D68" i="18"/>
  <c r="D63" i="18"/>
  <c r="D65" i="18"/>
  <c r="E60" i="18"/>
  <c r="D50" i="18"/>
  <c r="E50" i="18"/>
  <c r="E63" i="18" s="1"/>
  <c r="D60" i="18"/>
  <c r="E70" i="15"/>
  <c r="E67" i="15"/>
  <c r="D67" i="15" l="1"/>
  <c r="D70" i="15" s="1"/>
  <c r="I65" i="18" l="1"/>
  <c r="I68" i="18" s="1"/>
  <c r="I50" i="18"/>
  <c r="I63" i="18"/>
  <c r="CV82" i="28" l="1"/>
  <c r="CQ82" i="28"/>
  <c r="CJ82" i="28"/>
  <c r="CH82" i="28"/>
  <c r="BT82" i="28"/>
  <c r="BF82" i="28"/>
  <c r="AR82" i="28"/>
  <c r="AD82" i="28"/>
  <c r="P82" i="28"/>
  <c r="CV79" i="28"/>
  <c r="CQ79" i="28"/>
  <c r="CJ79" i="28"/>
  <c r="CH79" i="28"/>
  <c r="CA79" i="28"/>
  <c r="CA82" i="28" s="1"/>
  <c r="BT79" i="28"/>
  <c r="BM79" i="28"/>
  <c r="BM82" i="28" s="1"/>
  <c r="BF79" i="28"/>
  <c r="AY79" i="28"/>
  <c r="AY82" i="28" s="1"/>
  <c r="AR79" i="28"/>
  <c r="AK79" i="28"/>
  <c r="AK82" i="28" s="1"/>
  <c r="AD79" i="28"/>
  <c r="W79" i="28"/>
  <c r="W82" i="28" s="1"/>
  <c r="P79" i="28"/>
  <c r="I79" i="28"/>
  <c r="I82" i="28" s="1"/>
  <c r="D79" i="28"/>
  <c r="CO76" i="28"/>
  <c r="CD76" i="28"/>
  <c r="CR75" i="28"/>
  <c r="CQ75" i="28"/>
  <c r="CT75" i="28" s="1"/>
  <c r="CO75" i="28"/>
  <c r="CK75" i="28"/>
  <c r="CJ75" i="28"/>
  <c r="CF75" i="28"/>
  <c r="BY75" i="28"/>
  <c r="BR75" i="28"/>
  <c r="BK75" i="28"/>
  <c r="BD75" i="28"/>
  <c r="AW75" i="28"/>
  <c r="AP75" i="28"/>
  <c r="AI75" i="28"/>
  <c r="U75" i="28"/>
  <c r="N75" i="28"/>
  <c r="G75" i="28"/>
  <c r="F75" i="28"/>
  <c r="CR74" i="28"/>
  <c r="CQ74" i="28"/>
  <c r="CT74" i="28" s="1"/>
  <c r="CO74" i="28"/>
  <c r="CK74" i="28"/>
  <c r="CM74" i="28" s="1"/>
  <c r="CJ74" i="28"/>
  <c r="CF74" i="28"/>
  <c r="CE74" i="28"/>
  <c r="BY74" i="28"/>
  <c r="BR74" i="28"/>
  <c r="BK74" i="28"/>
  <c r="BD74" i="28"/>
  <c r="AW74" i="28"/>
  <c r="AV74" i="28"/>
  <c r="AP74" i="28"/>
  <c r="AO74" i="28"/>
  <c r="AI74" i="28"/>
  <c r="AH74" i="28"/>
  <c r="U74" i="28"/>
  <c r="T74" i="28"/>
  <c r="N74" i="28"/>
  <c r="M74" i="28"/>
  <c r="G74" i="28"/>
  <c r="F74" i="28"/>
  <c r="CO73" i="28"/>
  <c r="BR73" i="28"/>
  <c r="AB73" i="28"/>
  <c r="CO72" i="28"/>
  <c r="CE72" i="28"/>
  <c r="BX72" i="28"/>
  <c r="BQ72" i="28"/>
  <c r="BP72" i="28"/>
  <c r="BI72" i="28"/>
  <c r="BB72" i="28"/>
  <c r="BA72" i="28"/>
  <c r="AU72" i="28"/>
  <c r="AT72" i="28"/>
  <c r="AN72" i="28"/>
  <c r="AM72" i="28"/>
  <c r="AG72" i="28"/>
  <c r="AG73" i="28" s="1"/>
  <c r="AF72" i="28"/>
  <c r="AF73" i="28" s="1"/>
  <c r="Z72" i="28"/>
  <c r="Y72" i="28"/>
  <c r="Y73" i="28" s="1"/>
  <c r="S72" i="28"/>
  <c r="R72" i="28"/>
  <c r="L72" i="28"/>
  <c r="L73" i="28" s="1"/>
  <c r="K72" i="28"/>
  <c r="K73" i="28" s="1"/>
  <c r="G72" i="28"/>
  <c r="E72" i="28"/>
  <c r="CK72" i="28" s="1"/>
  <c r="D72" i="28"/>
  <c r="CR71" i="28"/>
  <c r="CR70" i="28"/>
  <c r="CQ70" i="28"/>
  <c r="CT70" i="28" s="1"/>
  <c r="CO70" i="28"/>
  <c r="CK70" i="28"/>
  <c r="CJ70" i="28"/>
  <c r="BK70" i="28"/>
  <c r="BJ70" i="28"/>
  <c r="BC70" i="28"/>
  <c r="AW70" i="28"/>
  <c r="AV70" i="28"/>
  <c r="AI70" i="28"/>
  <c r="AH70" i="28"/>
  <c r="U70" i="28"/>
  <c r="N70" i="28"/>
  <c r="G70" i="28"/>
  <c r="CT69" i="28"/>
  <c r="CR69" i="28"/>
  <c r="CS69" i="28" s="1"/>
  <c r="CQ69" i="28"/>
  <c r="CO69" i="28"/>
  <c r="CJ69" i="28"/>
  <c r="BW69" i="28"/>
  <c r="BW72" i="28" s="1"/>
  <c r="BK69" i="28"/>
  <c r="BJ69" i="28"/>
  <c r="BC69" i="28"/>
  <c r="AW69" i="28"/>
  <c r="AV69" i="28"/>
  <c r="AP69" i="28"/>
  <c r="AO69" i="28"/>
  <c r="AO72" i="28" s="1"/>
  <c r="AI69" i="28"/>
  <c r="AH69" i="28"/>
  <c r="AA69" i="28"/>
  <c r="U69" i="28"/>
  <c r="T69" i="28"/>
  <c r="N69" i="28"/>
  <c r="M69" i="28"/>
  <c r="G69" i="28"/>
  <c r="F69" i="28"/>
  <c r="CR68" i="28"/>
  <c r="CQ68" i="28"/>
  <c r="CO68" i="28"/>
  <c r="CL68" i="28"/>
  <c r="CK68" i="28"/>
  <c r="CM68" i="28" s="1"/>
  <c r="CJ68" i="28"/>
  <c r="BK68" i="28"/>
  <c r="BJ68" i="28"/>
  <c r="BJ72" i="28" s="1"/>
  <c r="BC68" i="28"/>
  <c r="BC72" i="28" s="1"/>
  <c r="AW68" i="28"/>
  <c r="AV68" i="28"/>
  <c r="AV72" i="28" s="1"/>
  <c r="AP68" i="28"/>
  <c r="AO68" i="28"/>
  <c r="AI68" i="28"/>
  <c r="AH68" i="28"/>
  <c r="AH72" i="28" s="1"/>
  <c r="AA68" i="28"/>
  <c r="AA72" i="28" s="1"/>
  <c r="U68" i="28"/>
  <c r="T68" i="28"/>
  <c r="T72" i="28" s="1"/>
  <c r="N68" i="28"/>
  <c r="M68" i="28"/>
  <c r="M72" i="28" s="1"/>
  <c r="G68" i="28"/>
  <c r="F68" i="28"/>
  <c r="F72" i="28" s="1"/>
  <c r="CO67" i="28"/>
  <c r="CK67" i="28"/>
  <c r="CJ67" i="28"/>
  <c r="BY67" i="28"/>
  <c r="BD67" i="28"/>
  <c r="AW67" i="28"/>
  <c r="U67" i="28"/>
  <c r="N67" i="28"/>
  <c r="CO66" i="28"/>
  <c r="CK66" i="28"/>
  <c r="CL66" i="28" s="1"/>
  <c r="CF66" i="28"/>
  <c r="CC66" i="28"/>
  <c r="CC73" i="28" s="1"/>
  <c r="BW66" i="28"/>
  <c r="BY66" i="28" s="1"/>
  <c r="BV66" i="28"/>
  <c r="BV73" i="28" s="1"/>
  <c r="BQ66" i="28"/>
  <c r="BP66" i="28"/>
  <c r="BP73" i="28" s="1"/>
  <c r="BO66" i="28"/>
  <c r="BO73" i="28" s="1"/>
  <c r="BI66" i="28"/>
  <c r="BK66" i="28" s="1"/>
  <c r="BH66" i="28"/>
  <c r="BC66" i="28"/>
  <c r="BB66" i="28"/>
  <c r="BB73" i="28" s="1"/>
  <c r="BA66" i="28"/>
  <c r="BA73" i="28" s="1"/>
  <c r="BD73" i="28" s="1"/>
  <c r="AU66" i="28"/>
  <c r="AW66" i="28" s="1"/>
  <c r="AT66" i="28"/>
  <c r="AO66" i="28"/>
  <c r="AN66" i="28"/>
  <c r="AN73" i="28" s="1"/>
  <c r="AM66" i="28"/>
  <c r="AM73" i="28" s="1"/>
  <c r="AG66" i="28"/>
  <c r="AI66" i="28" s="1"/>
  <c r="AF66" i="28"/>
  <c r="AA66" i="28"/>
  <c r="Z66" i="28"/>
  <c r="Z73" i="28" s="1"/>
  <c r="Y66" i="28"/>
  <c r="S66" i="28"/>
  <c r="U66" i="28" s="1"/>
  <c r="R66" i="28"/>
  <c r="M66" i="28"/>
  <c r="L66" i="28"/>
  <c r="N66" i="28" s="1"/>
  <c r="K66" i="28"/>
  <c r="CQ66" i="28" s="1"/>
  <c r="E66" i="28"/>
  <c r="G66" i="28" s="1"/>
  <c r="D66" i="28"/>
  <c r="CJ66" i="28" s="1"/>
  <c r="CM66" i="28" s="1"/>
  <c r="CS65" i="28"/>
  <c r="CR65" i="28"/>
  <c r="CT65" i="28" s="1"/>
  <c r="CQ65" i="28"/>
  <c r="CO65" i="28"/>
  <c r="CM65" i="28"/>
  <c r="CK65" i="28"/>
  <c r="CL65" i="28" s="1"/>
  <c r="CJ65" i="28"/>
  <c r="CF65" i="28"/>
  <c r="CE65" i="28"/>
  <c r="BY65" i="28"/>
  <c r="BX65" i="28"/>
  <c r="BR65" i="28"/>
  <c r="BQ65" i="28"/>
  <c r="BK65" i="28"/>
  <c r="BJ65" i="28"/>
  <c r="BD65" i="28"/>
  <c r="BC65" i="28"/>
  <c r="AW65" i="28"/>
  <c r="AV65" i="28"/>
  <c r="AP65" i="28"/>
  <c r="AO65" i="28"/>
  <c r="AI65" i="28"/>
  <c r="AH65" i="28"/>
  <c r="AB65" i="28"/>
  <c r="AA65" i="28"/>
  <c r="U65" i="28"/>
  <c r="T65" i="28"/>
  <c r="N65" i="28"/>
  <c r="M65" i="28"/>
  <c r="G65" i="28"/>
  <c r="F65" i="28"/>
  <c r="CT64" i="28"/>
  <c r="CR64" i="28"/>
  <c r="CR66" i="28" s="1"/>
  <c r="CQ64" i="28"/>
  <c r="CO64" i="28"/>
  <c r="CK64" i="28"/>
  <c r="CJ64" i="28"/>
  <c r="CF64" i="28"/>
  <c r="CE64" i="28"/>
  <c r="CE66" i="28" s="1"/>
  <c r="BY64" i="28"/>
  <c r="BX64" i="28"/>
  <c r="BX66" i="28" s="1"/>
  <c r="BR64" i="28"/>
  <c r="BQ64" i="28"/>
  <c r="BK64" i="28"/>
  <c r="BJ64" i="28"/>
  <c r="BJ66" i="28" s="1"/>
  <c r="BD64" i="28"/>
  <c r="BC64" i="28"/>
  <c r="AW64" i="28"/>
  <c r="AV64" i="28"/>
  <c r="AV66" i="28" s="1"/>
  <c r="AP64" i="28"/>
  <c r="AO64" i="28"/>
  <c r="AI64" i="28"/>
  <c r="AH64" i="28"/>
  <c r="AH66" i="28" s="1"/>
  <c r="AB64" i="28"/>
  <c r="AA64" i="28"/>
  <c r="U64" i="28"/>
  <c r="T64" i="28"/>
  <c r="T66" i="28" s="1"/>
  <c r="N64" i="28"/>
  <c r="M64" i="28"/>
  <c r="G64" i="28"/>
  <c r="F64" i="28"/>
  <c r="F66" i="28" s="1"/>
  <c r="CQ63" i="28"/>
  <c r="CS63" i="28" s="1"/>
  <c r="CO63" i="28"/>
  <c r="CK63" i="28"/>
  <c r="CJ63" i="28"/>
  <c r="AW63" i="28"/>
  <c r="AP63" i="28"/>
  <c r="AO63" i="28"/>
  <c r="CO62" i="28"/>
  <c r="CK62" i="28"/>
  <c r="CC62" i="28"/>
  <c r="CF62" i="28" s="1"/>
  <c r="BW62" i="28"/>
  <c r="BV62" i="28"/>
  <c r="BY62" i="28" s="1"/>
  <c r="BP62" i="28"/>
  <c r="BR62" i="28" s="1"/>
  <c r="BO62" i="28"/>
  <c r="BI62" i="28"/>
  <c r="BH62" i="28"/>
  <c r="BK62" i="28" s="1"/>
  <c r="BB62" i="28"/>
  <c r="BD62" i="28" s="1"/>
  <c r="BA62" i="28"/>
  <c r="AU62" i="28"/>
  <c r="AT62" i="28"/>
  <c r="AW62" i="28" s="1"/>
  <c r="AN62" i="28"/>
  <c r="AP62" i="28" s="1"/>
  <c r="AM62" i="28"/>
  <c r="AG62" i="28"/>
  <c r="AF62" i="28"/>
  <c r="Z62" i="28"/>
  <c r="AB62" i="28" s="1"/>
  <c r="Y62" i="28"/>
  <c r="S62" i="28"/>
  <c r="U62" i="28" s="1"/>
  <c r="R62" i="28"/>
  <c r="L62" i="28"/>
  <c r="N62" i="28" s="1"/>
  <c r="K62" i="28"/>
  <c r="E62" i="28"/>
  <c r="D62" i="28"/>
  <c r="CS61" i="28"/>
  <c r="CR61" i="28"/>
  <c r="CT61" i="28" s="1"/>
  <c r="CQ61" i="28"/>
  <c r="CO61" i="28"/>
  <c r="CK61" i="28"/>
  <c r="CJ61" i="28"/>
  <c r="CF61" i="28"/>
  <c r="CE61" i="28"/>
  <c r="BY61" i="28"/>
  <c r="BX61" i="28"/>
  <c r="BR61" i="28"/>
  <c r="BQ61" i="28"/>
  <c r="BK61" i="28"/>
  <c r="BJ61" i="28"/>
  <c r="BD61" i="28"/>
  <c r="BC61" i="28"/>
  <c r="AW61" i="28"/>
  <c r="AV61" i="28"/>
  <c r="AP61" i="28"/>
  <c r="AO61" i="28"/>
  <c r="AI61" i="28"/>
  <c r="AH61" i="28"/>
  <c r="AB61" i="28"/>
  <c r="AA61" i="28"/>
  <c r="U61" i="28"/>
  <c r="T61" i="28"/>
  <c r="N61" i="28"/>
  <c r="M61" i="28"/>
  <c r="G61" i="28"/>
  <c r="F61" i="28"/>
  <c r="CR60" i="28"/>
  <c r="CT60" i="28" s="1"/>
  <c r="CQ60" i="28"/>
  <c r="CO60" i="28"/>
  <c r="CL60" i="28"/>
  <c r="CK60" i="28"/>
  <c r="CJ60" i="28"/>
  <c r="CM60" i="28" s="1"/>
  <c r="CF60" i="28"/>
  <c r="CE60" i="28"/>
  <c r="BY60" i="28"/>
  <c r="BX60" i="28"/>
  <c r="BR60" i="28"/>
  <c r="BQ60" i="28"/>
  <c r="BK60" i="28"/>
  <c r="BJ60" i="28"/>
  <c r="BD60" i="28"/>
  <c r="BC60" i="28"/>
  <c r="AW60" i="28"/>
  <c r="AV60" i="28"/>
  <c r="AP60" i="28"/>
  <c r="AO60" i="28"/>
  <c r="AI60" i="28"/>
  <c r="AH60" i="28"/>
  <c r="AB60" i="28"/>
  <c r="AA60" i="28"/>
  <c r="U60" i="28"/>
  <c r="T60" i="28"/>
  <c r="N60" i="28"/>
  <c r="M60" i="28"/>
  <c r="G60" i="28"/>
  <c r="F60" i="28"/>
  <c r="CT59" i="28"/>
  <c r="CS59" i="28"/>
  <c r="CR59" i="28"/>
  <c r="CQ59" i="28"/>
  <c r="CO59" i="28"/>
  <c r="CM59" i="28"/>
  <c r="CK59" i="28"/>
  <c r="CL59" i="28" s="1"/>
  <c r="CJ59" i="28"/>
  <c r="CF59" i="28"/>
  <c r="CE59" i="28"/>
  <c r="BY59" i="28"/>
  <c r="BX59" i="28"/>
  <c r="BR59" i="28"/>
  <c r="BQ59" i="28"/>
  <c r="BK59" i="28"/>
  <c r="BJ59" i="28"/>
  <c r="BD59" i="28"/>
  <c r="BC59" i="28"/>
  <c r="AW59" i="28"/>
  <c r="AV59" i="28"/>
  <c r="AP59" i="28"/>
  <c r="AO59" i="28"/>
  <c r="AI59" i="28"/>
  <c r="AH59" i="28"/>
  <c r="AB59" i="28"/>
  <c r="AA59" i="28"/>
  <c r="U59" i="28"/>
  <c r="T59" i="28"/>
  <c r="N59" i="28"/>
  <c r="M59" i="28"/>
  <c r="G59" i="28"/>
  <c r="F59" i="28"/>
  <c r="CT58" i="28"/>
  <c r="CR58" i="28"/>
  <c r="CQ58" i="28"/>
  <c r="CO58" i="28"/>
  <c r="CK58" i="28"/>
  <c r="CM58" i="28" s="1"/>
  <c r="CJ58" i="28"/>
  <c r="CL58" i="28" s="1"/>
  <c r="CF58" i="28"/>
  <c r="CE58" i="28"/>
  <c r="BY58" i="28"/>
  <c r="BX58" i="28"/>
  <c r="BR58" i="28"/>
  <c r="BQ58" i="28"/>
  <c r="BK58" i="28"/>
  <c r="BJ58" i="28"/>
  <c r="BD58" i="28"/>
  <c r="BC58" i="28"/>
  <c r="AW58" i="28"/>
  <c r="AV58" i="28"/>
  <c r="AP58" i="28"/>
  <c r="AO58" i="28"/>
  <c r="AI58" i="28"/>
  <c r="AH58" i="28"/>
  <c r="AB58" i="28"/>
  <c r="AA58" i="28"/>
  <c r="U58" i="28"/>
  <c r="T58" i="28"/>
  <c r="N58" i="28"/>
  <c r="M58" i="28"/>
  <c r="G58" i="28"/>
  <c r="F58" i="28"/>
  <c r="CR57" i="28"/>
  <c r="CT57" i="28" s="1"/>
  <c r="CQ57" i="28"/>
  <c r="CO57" i="28"/>
  <c r="CK57" i="28"/>
  <c r="CM57" i="28" s="1"/>
  <c r="CJ57" i="28"/>
  <c r="CF57" i="28"/>
  <c r="CE57" i="28"/>
  <c r="BY57" i="28"/>
  <c r="BX57" i="28"/>
  <c r="BR57" i="28"/>
  <c r="BQ57" i="28"/>
  <c r="BK57" i="28"/>
  <c r="BJ57" i="28"/>
  <c r="BD57" i="28"/>
  <c r="BC57" i="28"/>
  <c r="AW57" i="28"/>
  <c r="AV57" i="28"/>
  <c r="AP57" i="28"/>
  <c r="AO57" i="28"/>
  <c r="AI57" i="28"/>
  <c r="AH57" i="28"/>
  <c r="AB57" i="28"/>
  <c r="AA57" i="28"/>
  <c r="U57" i="28"/>
  <c r="T57" i="28"/>
  <c r="N57" i="28"/>
  <c r="M57" i="28"/>
  <c r="G57" i="28"/>
  <c r="F57" i="28"/>
  <c r="CS57" i="28" s="1"/>
  <c r="CR56" i="28"/>
  <c r="CT56" i="28" s="1"/>
  <c r="CQ56" i="28"/>
  <c r="CO56" i="28"/>
  <c r="CM56" i="28"/>
  <c r="CL56" i="28"/>
  <c r="CK56" i="28"/>
  <c r="CJ56" i="28"/>
  <c r="CF56" i="28"/>
  <c r="CE56" i="28"/>
  <c r="BY56" i="28"/>
  <c r="BX56" i="28"/>
  <c r="BR56" i="28"/>
  <c r="BQ56" i="28"/>
  <c r="BK56" i="28"/>
  <c r="BJ56" i="28"/>
  <c r="BD56" i="28"/>
  <c r="BC56" i="28"/>
  <c r="AW56" i="28"/>
  <c r="AV56" i="28"/>
  <c r="AP56" i="28"/>
  <c r="AO56" i="28"/>
  <c r="AI56" i="28"/>
  <c r="AH56" i="28"/>
  <c r="AB56" i="28"/>
  <c r="AA56" i="28"/>
  <c r="U56" i="28"/>
  <c r="T56" i="28"/>
  <c r="N56" i="28"/>
  <c r="M56" i="28"/>
  <c r="G56" i="28"/>
  <c r="F56" i="28"/>
  <c r="CS56" i="28" s="1"/>
  <c r="CS55" i="28"/>
  <c r="CR55" i="28"/>
  <c r="CQ55" i="28"/>
  <c r="CT55" i="28" s="1"/>
  <c r="CO55" i="28"/>
  <c r="CM55" i="28"/>
  <c r="CK55" i="28"/>
  <c r="CL55" i="28" s="1"/>
  <c r="CJ55" i="28"/>
  <c r="CF55" i="28"/>
  <c r="CE55" i="28"/>
  <c r="BY55" i="28"/>
  <c r="BX55" i="28"/>
  <c r="BR55" i="28"/>
  <c r="BQ55" i="28"/>
  <c r="BK55" i="28"/>
  <c r="BJ55" i="28"/>
  <c r="BD55" i="28"/>
  <c r="BC55" i="28"/>
  <c r="AW55" i="28"/>
  <c r="AV55" i="28"/>
  <c r="AP55" i="28"/>
  <c r="AO55" i="28"/>
  <c r="AI55" i="28"/>
  <c r="AH55" i="28"/>
  <c r="AB55" i="28"/>
  <c r="AA55" i="28"/>
  <c r="U55" i="28"/>
  <c r="T55" i="28"/>
  <c r="N55" i="28"/>
  <c r="M55" i="28"/>
  <c r="G55" i="28"/>
  <c r="F55" i="28"/>
  <c r="CT54" i="28"/>
  <c r="CR54" i="28"/>
  <c r="CQ54" i="28"/>
  <c r="CO54" i="28"/>
  <c r="CK54" i="28"/>
  <c r="CJ54" i="28"/>
  <c r="CF54" i="28"/>
  <c r="CE54" i="28"/>
  <c r="BY54" i="28"/>
  <c r="BX54" i="28"/>
  <c r="BR54" i="28"/>
  <c r="BQ54" i="28"/>
  <c r="BK54" i="28"/>
  <c r="BJ54" i="28"/>
  <c r="BD54" i="28"/>
  <c r="BC54" i="28"/>
  <c r="AW54" i="28"/>
  <c r="AV54" i="28"/>
  <c r="AP54" i="28"/>
  <c r="AO54" i="28"/>
  <c r="AI54" i="28"/>
  <c r="AH54" i="28"/>
  <c r="AB54" i="28"/>
  <c r="AA54" i="28"/>
  <c r="U54" i="28"/>
  <c r="T54" i="28"/>
  <c r="N54" i="28"/>
  <c r="M54" i="28"/>
  <c r="G54" i="28"/>
  <c r="F54" i="28"/>
  <c r="CS54" i="28" s="1"/>
  <c r="CS53" i="28"/>
  <c r="CR53" i="28"/>
  <c r="CT53" i="28" s="1"/>
  <c r="CQ53" i="28"/>
  <c r="CO53" i="28"/>
  <c r="CK53" i="28"/>
  <c r="CJ53" i="28"/>
  <c r="CF53" i="28"/>
  <c r="CE53" i="28"/>
  <c r="BY53" i="28"/>
  <c r="BX53" i="28"/>
  <c r="BR53" i="28"/>
  <c r="BQ53" i="28"/>
  <c r="BK53" i="28"/>
  <c r="BJ53" i="28"/>
  <c r="BD53" i="28"/>
  <c r="BC53" i="28"/>
  <c r="AW53" i="28"/>
  <c r="AV53" i="28"/>
  <c r="AP53" i="28"/>
  <c r="AO53" i="28"/>
  <c r="AI53" i="28"/>
  <c r="AH53" i="28"/>
  <c r="AB53" i="28"/>
  <c r="AA53" i="28"/>
  <c r="U53" i="28"/>
  <c r="T53" i="28"/>
  <c r="N53" i="28"/>
  <c r="M53" i="28"/>
  <c r="G53" i="28"/>
  <c r="F53" i="28"/>
  <c r="CR52" i="28"/>
  <c r="CT52" i="28" s="1"/>
  <c r="CQ52" i="28"/>
  <c r="CO52" i="28"/>
  <c r="CL52" i="28"/>
  <c r="CK52" i="28"/>
  <c r="CJ52" i="28"/>
  <c r="CM52" i="28" s="1"/>
  <c r="CF52" i="28"/>
  <c r="CE52" i="28"/>
  <c r="BY52" i="28"/>
  <c r="BX52" i="28"/>
  <c r="BR52" i="28"/>
  <c r="BQ52" i="28"/>
  <c r="BK52" i="28"/>
  <c r="BJ52" i="28"/>
  <c r="BD52" i="28"/>
  <c r="BC52" i="28"/>
  <c r="AW52" i="28"/>
  <c r="AV52" i="28"/>
  <c r="AP52" i="28"/>
  <c r="AO52" i="28"/>
  <c r="AI52" i="28"/>
  <c r="AH52" i="28"/>
  <c r="AB52" i="28"/>
  <c r="AA52" i="28"/>
  <c r="U52" i="28"/>
  <c r="T52" i="28"/>
  <c r="N52" i="28"/>
  <c r="M52" i="28"/>
  <c r="G52" i="28"/>
  <c r="F52" i="28"/>
  <c r="CS52" i="28" s="1"/>
  <c r="CQ51" i="28"/>
  <c r="CO51" i="28"/>
  <c r="CK51" i="28"/>
  <c r="CJ51" i="28"/>
  <c r="CE51" i="28"/>
  <c r="CO50" i="28"/>
  <c r="CO79" i="28" s="1"/>
  <c r="CQ49" i="28"/>
  <c r="CO49" i="28"/>
  <c r="CJ49" i="28"/>
  <c r="CF49" i="28"/>
  <c r="CE49" i="28"/>
  <c r="BY49" i="28"/>
  <c r="BX49" i="28"/>
  <c r="BW49" i="28"/>
  <c r="BQ49" i="28"/>
  <c r="BP49" i="28"/>
  <c r="BK49" i="28"/>
  <c r="BD49" i="28"/>
  <c r="BC49" i="28"/>
  <c r="BB49" i="28"/>
  <c r="AU49" i="28"/>
  <c r="AO49" i="28"/>
  <c r="AN49" i="28"/>
  <c r="AP49" i="28" s="1"/>
  <c r="AI49" i="28"/>
  <c r="AG49" i="28"/>
  <c r="AB49" i="28"/>
  <c r="AA49" i="28"/>
  <c r="Z49" i="28"/>
  <c r="T49" i="28"/>
  <c r="S49" i="28"/>
  <c r="U49" i="28" s="1"/>
  <c r="M49" i="28"/>
  <c r="L49" i="28"/>
  <c r="N49" i="28" s="1"/>
  <c r="G49" i="28"/>
  <c r="E49" i="28"/>
  <c r="CT48" i="28"/>
  <c r="CS48" i="28"/>
  <c r="CS49" i="28" s="1"/>
  <c r="CR48" i="28"/>
  <c r="CQ48" i="28"/>
  <c r="CO48" i="28"/>
  <c r="CM48" i="28"/>
  <c r="CK48" i="28"/>
  <c r="CL48" i="28" s="1"/>
  <c r="CJ48" i="28"/>
  <c r="CF48" i="28"/>
  <c r="CE48" i="28"/>
  <c r="BY48" i="28"/>
  <c r="BX48" i="28"/>
  <c r="BR48" i="28"/>
  <c r="BQ48" i="28"/>
  <c r="BK48" i="28"/>
  <c r="BJ48" i="28"/>
  <c r="BJ49" i="28" s="1"/>
  <c r="BD48" i="28"/>
  <c r="BC48" i="28"/>
  <c r="AW48" i="28"/>
  <c r="AV48" i="28"/>
  <c r="AV49" i="28" s="1"/>
  <c r="AP48" i="28"/>
  <c r="AO48" i="28"/>
  <c r="AI48" i="28"/>
  <c r="AH48" i="28"/>
  <c r="AH49" i="28" s="1"/>
  <c r="AB48" i="28"/>
  <c r="AA48" i="28"/>
  <c r="U48" i="28"/>
  <c r="T48" i="28"/>
  <c r="N48" i="28"/>
  <c r="M48" i="28"/>
  <c r="G48" i="28"/>
  <c r="F48" i="28"/>
  <c r="F49" i="28" s="1"/>
  <c r="CQ47" i="28"/>
  <c r="CO47" i="28"/>
  <c r="CJ47" i="28"/>
  <c r="CF47" i="28"/>
  <c r="CE47" i="28"/>
  <c r="BY47" i="28"/>
  <c r="BX47" i="28"/>
  <c r="BW47" i="28"/>
  <c r="BQ47" i="28"/>
  <c r="BP47" i="28"/>
  <c r="BR47" i="28" s="1"/>
  <c r="BK47" i="28"/>
  <c r="BD47" i="28"/>
  <c r="BC47" i="28"/>
  <c r="BB47" i="28"/>
  <c r="AU47" i="28"/>
  <c r="AW47" i="28" s="1"/>
  <c r="AO47" i="28"/>
  <c r="AN47" i="28"/>
  <c r="AP47" i="28" s="1"/>
  <c r="AI47" i="28"/>
  <c r="AG47" i="28"/>
  <c r="AB47" i="28"/>
  <c r="AA47" i="28"/>
  <c r="Z47" i="28"/>
  <c r="S47" i="28"/>
  <c r="U47" i="28" s="1"/>
  <c r="M47" i="28"/>
  <c r="L47" i="28"/>
  <c r="N47" i="28" s="1"/>
  <c r="G47" i="28"/>
  <c r="E47" i="28"/>
  <c r="CS46" i="28"/>
  <c r="CS47" i="28" s="1"/>
  <c r="CR46" i="28"/>
  <c r="CQ46" i="28"/>
  <c r="CT46" i="28" s="1"/>
  <c r="CO46" i="28"/>
  <c r="CM46" i="28"/>
  <c r="CK46" i="28"/>
  <c r="CL46" i="28" s="1"/>
  <c r="CJ46" i="28"/>
  <c r="CF46" i="28"/>
  <c r="CE46" i="28"/>
  <c r="BY46" i="28"/>
  <c r="BX46" i="28"/>
  <c r="BR46" i="28"/>
  <c r="BQ46" i="28"/>
  <c r="BK46" i="28"/>
  <c r="BJ46" i="28"/>
  <c r="BJ47" i="28" s="1"/>
  <c r="BD46" i="28"/>
  <c r="BC46" i="28"/>
  <c r="AW46" i="28"/>
  <c r="AV46" i="28"/>
  <c r="AV47" i="28" s="1"/>
  <c r="AP46" i="28"/>
  <c r="AO46" i="28"/>
  <c r="AI46" i="28"/>
  <c r="AH46" i="28"/>
  <c r="AH47" i="28" s="1"/>
  <c r="AB46" i="28"/>
  <c r="AA46" i="28"/>
  <c r="U46" i="28"/>
  <c r="T46" i="28"/>
  <c r="T47" i="28" s="1"/>
  <c r="N46" i="28"/>
  <c r="M46" i="28"/>
  <c r="G46" i="28"/>
  <c r="F46" i="28"/>
  <c r="F47" i="28" s="1"/>
  <c r="CO45" i="28"/>
  <c r="CJ45" i="28"/>
  <c r="CF45" i="28"/>
  <c r="BP45" i="28"/>
  <c r="BR45" i="28" s="1"/>
  <c r="BO45" i="28"/>
  <c r="BH45" i="28"/>
  <c r="BA45" i="28"/>
  <c r="AM45" i="28"/>
  <c r="AF45" i="28"/>
  <c r="Y45" i="28"/>
  <c r="R45" i="28"/>
  <c r="K45" i="28"/>
  <c r="CT44" i="28"/>
  <c r="CR44" i="28"/>
  <c r="CQ44" i="28"/>
  <c r="CO44" i="28"/>
  <c r="CK44" i="28"/>
  <c r="CM44" i="28" s="1"/>
  <c r="CJ44" i="28"/>
  <c r="CL44" i="28" s="1"/>
  <c r="CF44" i="28"/>
  <c r="CE44" i="28"/>
  <c r="BY44" i="28"/>
  <c r="BX44" i="28"/>
  <c r="BR44" i="28"/>
  <c r="BQ44" i="28"/>
  <c r="BK44" i="28"/>
  <c r="BJ44" i="28"/>
  <c r="BD44" i="28"/>
  <c r="BC44" i="28"/>
  <c r="AW44" i="28"/>
  <c r="AV44" i="28"/>
  <c r="AP44" i="28"/>
  <c r="AO44" i="28"/>
  <c r="AI44" i="28"/>
  <c r="AH44" i="28"/>
  <c r="AB44" i="28"/>
  <c r="AA44" i="28"/>
  <c r="U44" i="28"/>
  <c r="T44" i="28"/>
  <c r="N44" i="28"/>
  <c r="M44" i="28"/>
  <c r="G44" i="28"/>
  <c r="F44" i="28"/>
  <c r="CQ43" i="28"/>
  <c r="CO43" i="28"/>
  <c r="CJ43" i="28"/>
  <c r="CF43" i="28"/>
  <c r="CE43" i="28"/>
  <c r="BY43" i="28"/>
  <c r="BW43" i="28"/>
  <c r="BX43" i="28" s="1"/>
  <c r="BR43" i="28"/>
  <c r="BQ43" i="28"/>
  <c r="BP43" i="28"/>
  <c r="BI43" i="28"/>
  <c r="BC43" i="28"/>
  <c r="BB43" i="28"/>
  <c r="BD43" i="28" s="1"/>
  <c r="AW43" i="28"/>
  <c r="AU43" i="28"/>
  <c r="AV43" i="28" s="1"/>
  <c r="AP43" i="28"/>
  <c r="AO43" i="28"/>
  <c r="AN43" i="28"/>
  <c r="AG43" i="28"/>
  <c r="AI43" i="28" s="1"/>
  <c r="Z43" i="28"/>
  <c r="AB43" i="28" s="1"/>
  <c r="U43" i="28"/>
  <c r="S43" i="28"/>
  <c r="T43" i="28" s="1"/>
  <c r="N43" i="28"/>
  <c r="M43" i="28"/>
  <c r="L43" i="28"/>
  <c r="E43" i="28"/>
  <c r="CR42" i="28"/>
  <c r="CT42" i="28" s="1"/>
  <c r="CQ42" i="28"/>
  <c r="CO42" i="28"/>
  <c r="CK42" i="28"/>
  <c r="CJ42" i="28"/>
  <c r="CF42" i="28"/>
  <c r="CE42" i="28"/>
  <c r="BY42" i="28"/>
  <c r="BX42" i="28"/>
  <c r="BR42" i="28"/>
  <c r="BQ42" i="28"/>
  <c r="BK42" i="28"/>
  <c r="BJ42" i="28"/>
  <c r="BD42" i="28"/>
  <c r="BC42" i="28"/>
  <c r="AW42" i="28"/>
  <c r="AV42" i="28"/>
  <c r="AP42" i="28"/>
  <c r="AO42" i="28"/>
  <c r="AI42" i="28"/>
  <c r="AH42" i="28"/>
  <c r="AB42" i="28"/>
  <c r="AA42" i="28"/>
  <c r="CS42" i="28" s="1"/>
  <c r="U42" i="28"/>
  <c r="T42" i="28"/>
  <c r="N42" i="28"/>
  <c r="M42" i="28"/>
  <c r="G42" i="28"/>
  <c r="F42" i="28"/>
  <c r="CQ41" i="28"/>
  <c r="CO41" i="28"/>
  <c r="CJ41" i="28"/>
  <c r="CF41" i="28"/>
  <c r="CE41" i="28"/>
  <c r="BX41" i="28"/>
  <c r="BW41" i="28"/>
  <c r="BY41" i="28" s="1"/>
  <c r="BR41" i="28"/>
  <c r="BP41" i="28"/>
  <c r="BQ41" i="28" s="1"/>
  <c r="BK41" i="28"/>
  <c r="BJ41" i="28"/>
  <c r="BI41" i="28"/>
  <c r="BB41" i="28"/>
  <c r="AV41" i="28"/>
  <c r="AU41" i="28"/>
  <c r="AW41" i="28" s="1"/>
  <c r="AP41" i="28"/>
  <c r="AN41" i="28"/>
  <c r="AO41" i="28" s="1"/>
  <c r="AI41" i="28"/>
  <c r="AH41" i="28"/>
  <c r="AG41" i="28"/>
  <c r="Z41" i="28"/>
  <c r="AB41" i="28" s="1"/>
  <c r="T41" i="28"/>
  <c r="S41" i="28"/>
  <c r="U41" i="28" s="1"/>
  <c r="N41" i="28"/>
  <c r="L41" i="28"/>
  <c r="M41" i="28" s="1"/>
  <c r="G41" i="28"/>
  <c r="F41" i="28"/>
  <c r="E41" i="28"/>
  <c r="CK41" i="28" s="1"/>
  <c r="CM41" i="28" s="1"/>
  <c r="CR40" i="28"/>
  <c r="CT40" i="28" s="1"/>
  <c r="CQ40" i="28"/>
  <c r="CO40" i="28"/>
  <c r="CM40" i="28"/>
  <c r="CL40" i="28"/>
  <c r="CK40" i="28"/>
  <c r="CJ40" i="28"/>
  <c r="CF40" i="28"/>
  <c r="CE40" i="28"/>
  <c r="CE39" i="28" s="1"/>
  <c r="BY40" i="28"/>
  <c r="BX40" i="28"/>
  <c r="BR40" i="28"/>
  <c r="BQ40" i="28"/>
  <c r="BQ39" i="28" s="1"/>
  <c r="BK40" i="28"/>
  <c r="BJ40" i="28"/>
  <c r="BJ39" i="28" s="1"/>
  <c r="BD40" i="28"/>
  <c r="BC40" i="28"/>
  <c r="BC39" i="28" s="1"/>
  <c r="AW40" i="28"/>
  <c r="AV40" i="28"/>
  <c r="AV39" i="28" s="1"/>
  <c r="AP40" i="28"/>
  <c r="AO40" i="28"/>
  <c r="AI40" i="28"/>
  <c r="AH40" i="28"/>
  <c r="AH39" i="28" s="1"/>
  <c r="AB40" i="28"/>
  <c r="AA40" i="28"/>
  <c r="AA39" i="28" s="1"/>
  <c r="U40" i="28"/>
  <c r="T40" i="28"/>
  <c r="N40" i="28"/>
  <c r="M40" i="28"/>
  <c r="M39" i="28" s="1"/>
  <c r="G40" i="28"/>
  <c r="F40" i="28"/>
  <c r="F39" i="28" s="1"/>
  <c r="CQ39" i="28"/>
  <c r="CO39" i="28"/>
  <c r="CJ39" i="28"/>
  <c r="CF39" i="28"/>
  <c r="BX39" i="28"/>
  <c r="BW39" i="28"/>
  <c r="BY39" i="28" s="1"/>
  <c r="BP39" i="28"/>
  <c r="BR39" i="28" s="1"/>
  <c r="BK39" i="28"/>
  <c r="BI39" i="28"/>
  <c r="BD39" i="28"/>
  <c r="BB39" i="28"/>
  <c r="AU39" i="28"/>
  <c r="AW39" i="28" s="1"/>
  <c r="AO39" i="28"/>
  <c r="AN39" i="28"/>
  <c r="AP39" i="28" s="1"/>
  <c r="AI39" i="28"/>
  <c r="AG39" i="28"/>
  <c r="AB39" i="28"/>
  <c r="Z39" i="28"/>
  <c r="T39" i="28"/>
  <c r="S39" i="28"/>
  <c r="U39" i="28" s="1"/>
  <c r="L39" i="28"/>
  <c r="N39" i="28" s="1"/>
  <c r="G39" i="28"/>
  <c r="E39" i="28"/>
  <c r="CR39" i="28" s="1"/>
  <c r="CT39" i="28" s="1"/>
  <c r="CT38" i="28"/>
  <c r="CR38" i="28"/>
  <c r="CQ38" i="28"/>
  <c r="CO38" i="28"/>
  <c r="CM38" i="28"/>
  <c r="CK38" i="28"/>
  <c r="CL38" i="28" s="1"/>
  <c r="CJ38" i="28"/>
  <c r="CF38" i="28"/>
  <c r="CE38" i="28"/>
  <c r="BY38" i="28"/>
  <c r="BX38" i="28"/>
  <c r="BR38" i="28"/>
  <c r="BQ38" i="28"/>
  <c r="BK38" i="28"/>
  <c r="BJ38" i="28"/>
  <c r="BD38" i="28"/>
  <c r="BC38" i="28"/>
  <c r="AW38" i="28"/>
  <c r="AV38" i="28"/>
  <c r="AP38" i="28"/>
  <c r="AO38" i="28"/>
  <c r="AI38" i="28"/>
  <c r="AH38" i="28"/>
  <c r="AB38" i="28"/>
  <c r="AA38" i="28"/>
  <c r="U38" i="28"/>
  <c r="T38" i="28"/>
  <c r="N38" i="28"/>
  <c r="M38" i="28"/>
  <c r="G38" i="28"/>
  <c r="F38" i="28"/>
  <c r="CS38" i="28" s="1"/>
  <c r="CT37" i="28"/>
  <c r="CR37" i="28"/>
  <c r="CQ37" i="28"/>
  <c r="CO37" i="28"/>
  <c r="CK37" i="28"/>
  <c r="CM37" i="28" s="1"/>
  <c r="CJ37" i="28"/>
  <c r="CF37" i="28"/>
  <c r="CE37" i="28"/>
  <c r="BY37" i="28"/>
  <c r="BX37" i="28"/>
  <c r="BR37" i="28"/>
  <c r="BQ37" i="28"/>
  <c r="BK37" i="28"/>
  <c r="BJ37" i="28"/>
  <c r="BD37" i="28"/>
  <c r="BC37" i="28"/>
  <c r="AW37" i="28"/>
  <c r="AV37" i="28"/>
  <c r="AP37" i="28"/>
  <c r="AO37" i="28"/>
  <c r="AI37" i="28"/>
  <c r="AH37" i="28"/>
  <c r="AB37" i="28"/>
  <c r="AA37" i="28"/>
  <c r="U37" i="28"/>
  <c r="T37" i="28"/>
  <c r="N37" i="28"/>
  <c r="M37" i="28"/>
  <c r="G37" i="28"/>
  <c r="F37" i="28"/>
  <c r="CS37" i="28" s="1"/>
  <c r="CR36" i="28"/>
  <c r="CQ36" i="28"/>
  <c r="CO36" i="28"/>
  <c r="CL36" i="28"/>
  <c r="CK36" i="28"/>
  <c r="CM36" i="28" s="1"/>
  <c r="CJ36" i="28"/>
  <c r="CF36" i="28"/>
  <c r="CE36" i="28"/>
  <c r="BY36" i="28"/>
  <c r="BX36" i="28"/>
  <c r="BR36" i="28"/>
  <c r="BQ36" i="28"/>
  <c r="BK36" i="28"/>
  <c r="BJ36" i="28"/>
  <c r="BD36" i="28"/>
  <c r="BC36" i="28"/>
  <c r="AW36" i="28"/>
  <c r="AV36" i="28"/>
  <c r="AP36" i="28"/>
  <c r="AO36" i="28"/>
  <c r="AI36" i="28"/>
  <c r="AH36" i="28"/>
  <c r="AB36" i="28"/>
  <c r="AA36" i="28"/>
  <c r="U36" i="28"/>
  <c r="T36" i="28"/>
  <c r="N36" i="28"/>
  <c r="M36" i="28"/>
  <c r="CS36" i="28" s="1"/>
  <c r="G36" i="28"/>
  <c r="F36" i="28"/>
  <c r="CR35" i="28"/>
  <c r="CT35" i="28" s="1"/>
  <c r="CQ35" i="28"/>
  <c r="CO35" i="28"/>
  <c r="CM35" i="28"/>
  <c r="CL35" i="28"/>
  <c r="CK35" i="28"/>
  <c r="CJ35" i="28"/>
  <c r="CF35" i="28"/>
  <c r="CE35" i="28"/>
  <c r="CE25" i="28" s="1"/>
  <c r="BY35" i="28"/>
  <c r="BX35" i="28"/>
  <c r="BR35" i="28"/>
  <c r="BQ35" i="28"/>
  <c r="BK35" i="28"/>
  <c r="BJ35" i="28"/>
  <c r="BD35" i="28"/>
  <c r="BC35" i="28"/>
  <c r="AW35" i="28"/>
  <c r="AV35" i="28"/>
  <c r="AP35" i="28"/>
  <c r="AO35" i="28"/>
  <c r="AI35" i="28"/>
  <c r="AH35" i="28"/>
  <c r="AB35" i="28"/>
  <c r="AA35" i="28"/>
  <c r="U35" i="28"/>
  <c r="T35" i="28"/>
  <c r="N35" i="28"/>
  <c r="M35" i="28"/>
  <c r="G35" i="28"/>
  <c r="F35" i="28"/>
  <c r="CS34" i="28"/>
  <c r="CR34" i="28"/>
  <c r="CQ34" i="28"/>
  <c r="CT34" i="28" s="1"/>
  <c r="CO34" i="28"/>
  <c r="CM34" i="28"/>
  <c r="CK34" i="28"/>
  <c r="CL34" i="28" s="1"/>
  <c r="CJ34" i="28"/>
  <c r="CF34" i="28"/>
  <c r="CE34" i="28"/>
  <c r="BY34" i="28"/>
  <c r="BX34" i="28"/>
  <c r="BR34" i="28"/>
  <c r="BQ34" i="28"/>
  <c r="BK34" i="28"/>
  <c r="BJ34" i="28"/>
  <c r="BD34" i="28"/>
  <c r="BC34" i="28"/>
  <c r="AW34" i="28"/>
  <c r="AV34" i="28"/>
  <c r="AP34" i="28"/>
  <c r="AO34" i="28"/>
  <c r="AI34" i="28"/>
  <c r="AH34" i="28"/>
  <c r="AB34" i="28"/>
  <c r="AA34" i="28"/>
  <c r="U34" i="28"/>
  <c r="T34" i="28"/>
  <c r="N34" i="28"/>
  <c r="M34" i="28"/>
  <c r="G34" i="28"/>
  <c r="F34" i="28"/>
  <c r="CT33" i="28"/>
  <c r="CR33" i="28"/>
  <c r="CQ33" i="28"/>
  <c r="CO33" i="28"/>
  <c r="CK33" i="28"/>
  <c r="CJ33" i="28"/>
  <c r="CF33" i="28"/>
  <c r="CE33" i="28"/>
  <c r="BY33" i="28"/>
  <c r="BX33" i="28"/>
  <c r="BR33" i="28"/>
  <c r="BQ33" i="28"/>
  <c r="BK33" i="28"/>
  <c r="BJ33" i="28"/>
  <c r="BD33" i="28"/>
  <c r="BC33" i="28"/>
  <c r="AW33" i="28"/>
  <c r="AV33" i="28"/>
  <c r="AP33" i="28"/>
  <c r="AO33" i="28"/>
  <c r="AI33" i="28"/>
  <c r="AH33" i="28"/>
  <c r="AH25" i="28" s="1"/>
  <c r="AB33" i="28"/>
  <c r="AA33" i="28"/>
  <c r="U33" i="28"/>
  <c r="T33" i="28"/>
  <c r="N33" i="28"/>
  <c r="M33" i="28"/>
  <c r="G33" i="28"/>
  <c r="F33" i="28"/>
  <c r="CS33" i="28" s="1"/>
  <c r="CR32" i="28"/>
  <c r="CT32" i="28" s="1"/>
  <c r="CQ32" i="28"/>
  <c r="CO32" i="28"/>
  <c r="CK32" i="28"/>
  <c r="CJ32" i="28"/>
  <c r="CF32" i="28"/>
  <c r="CE32" i="28"/>
  <c r="BY32" i="28"/>
  <c r="BX32" i="28"/>
  <c r="BR32" i="28"/>
  <c r="BQ32" i="28"/>
  <c r="BK32" i="28"/>
  <c r="BJ32" i="28"/>
  <c r="BD32" i="28"/>
  <c r="BC32" i="28"/>
  <c r="AW32" i="28"/>
  <c r="AV32" i="28"/>
  <c r="AP32" i="28"/>
  <c r="AO32" i="28"/>
  <c r="AI32" i="28"/>
  <c r="AH32" i="28"/>
  <c r="AB32" i="28"/>
  <c r="AA32" i="28"/>
  <c r="CS32" i="28" s="1"/>
  <c r="U32" i="28"/>
  <c r="T32" i="28"/>
  <c r="N32" i="28"/>
  <c r="M32" i="28"/>
  <c r="G32" i="28"/>
  <c r="F32" i="28"/>
  <c r="CR31" i="28"/>
  <c r="CT31" i="28" s="1"/>
  <c r="CQ31" i="28"/>
  <c r="CO31" i="28"/>
  <c r="CL31" i="28"/>
  <c r="CK31" i="28"/>
  <c r="CJ31" i="28"/>
  <c r="CM31" i="28" s="1"/>
  <c r="CF31" i="28"/>
  <c r="CE31" i="28"/>
  <c r="BY31" i="28"/>
  <c r="BX31" i="28"/>
  <c r="BR31" i="28"/>
  <c r="BQ31" i="28"/>
  <c r="BK31" i="28"/>
  <c r="BJ31" i="28"/>
  <c r="BD31" i="28"/>
  <c r="BC31" i="28"/>
  <c r="AW31" i="28"/>
  <c r="AV31" i="28"/>
  <c r="AP31" i="28"/>
  <c r="AO31" i="28"/>
  <c r="AI31" i="28"/>
  <c r="AH31" i="28"/>
  <c r="AB31" i="28"/>
  <c r="AA31" i="28"/>
  <c r="U31" i="28"/>
  <c r="T31" i="28"/>
  <c r="N31" i="28"/>
  <c r="M31" i="28"/>
  <c r="G31" i="28"/>
  <c r="F31" i="28"/>
  <c r="CT30" i="28"/>
  <c r="CR30" i="28"/>
  <c r="CQ30" i="28"/>
  <c r="CO30" i="28"/>
  <c r="CM30" i="28"/>
  <c r="CK30" i="28"/>
  <c r="CL30" i="28" s="1"/>
  <c r="CJ30" i="28"/>
  <c r="CF30" i="28"/>
  <c r="CE30" i="28"/>
  <c r="BY30" i="28"/>
  <c r="BX30" i="28"/>
  <c r="BR30" i="28"/>
  <c r="BQ30" i="28"/>
  <c r="BK30" i="28"/>
  <c r="BJ30" i="28"/>
  <c r="BD30" i="28"/>
  <c r="BC30" i="28"/>
  <c r="AW30" i="28"/>
  <c r="AV30" i="28"/>
  <c r="AP30" i="28"/>
  <c r="AO30" i="28"/>
  <c r="AI30" i="28"/>
  <c r="AH30" i="28"/>
  <c r="AB30" i="28"/>
  <c r="AA30" i="28"/>
  <c r="U30" i="28"/>
  <c r="T30" i="28"/>
  <c r="N30" i="28"/>
  <c r="M30" i="28"/>
  <c r="G30" i="28"/>
  <c r="F30" i="28"/>
  <c r="CS30" i="28" s="1"/>
  <c r="CT29" i="28"/>
  <c r="CR29" i="28"/>
  <c r="CQ29" i="28"/>
  <c r="CO29" i="28"/>
  <c r="CK29" i="28"/>
  <c r="CJ29" i="28"/>
  <c r="CF29" i="28"/>
  <c r="CE29" i="28"/>
  <c r="BY29" i="28"/>
  <c r="BX29" i="28"/>
  <c r="BR29" i="28"/>
  <c r="BQ29" i="28"/>
  <c r="BK29" i="28"/>
  <c r="BJ29" i="28"/>
  <c r="BD29" i="28"/>
  <c r="BC29" i="28"/>
  <c r="AW29" i="28"/>
  <c r="AV29" i="28"/>
  <c r="AP29" i="28"/>
  <c r="AO29" i="28"/>
  <c r="AI29" i="28"/>
  <c r="AH29" i="28"/>
  <c r="AB29" i="28"/>
  <c r="AA29" i="28"/>
  <c r="U29" i="28"/>
  <c r="T29" i="28"/>
  <c r="N29" i="28"/>
  <c r="M29" i="28"/>
  <c r="G29" i="28"/>
  <c r="F29" i="28"/>
  <c r="CR28" i="28"/>
  <c r="CT28" i="28" s="1"/>
  <c r="CQ28" i="28"/>
  <c r="CO28" i="28"/>
  <c r="CL28" i="28"/>
  <c r="CK28" i="28"/>
  <c r="CM28" i="28" s="1"/>
  <c r="CJ28" i="28"/>
  <c r="CF28" i="28"/>
  <c r="CE28" i="28"/>
  <c r="BY28" i="28"/>
  <c r="BX28" i="28"/>
  <c r="BR28" i="28"/>
  <c r="BQ28" i="28"/>
  <c r="BK28" i="28"/>
  <c r="BJ28" i="28"/>
  <c r="BD28" i="28"/>
  <c r="BC28" i="28"/>
  <c r="AW28" i="28"/>
  <c r="AV28" i="28"/>
  <c r="AP28" i="28"/>
  <c r="AO28" i="28"/>
  <c r="AO25" i="28" s="1"/>
  <c r="AI28" i="28"/>
  <c r="AH28" i="28"/>
  <c r="AB28" i="28"/>
  <c r="AA28" i="28"/>
  <c r="U28" i="28"/>
  <c r="T28" i="28"/>
  <c r="N28" i="28"/>
  <c r="M28" i="28"/>
  <c r="CS28" i="28" s="1"/>
  <c r="G28" i="28"/>
  <c r="F28" i="28"/>
  <c r="CR27" i="28"/>
  <c r="CT27" i="28" s="1"/>
  <c r="CQ27" i="28"/>
  <c r="CO27" i="28"/>
  <c r="CM27" i="28"/>
  <c r="CL27" i="28"/>
  <c r="CK27" i="28"/>
  <c r="CJ27" i="28"/>
  <c r="CF27" i="28"/>
  <c r="CE27" i="28"/>
  <c r="BY27" i="28"/>
  <c r="BX27" i="28"/>
  <c r="BR27" i="28"/>
  <c r="BQ27" i="28"/>
  <c r="BK27" i="28"/>
  <c r="BJ27" i="28"/>
  <c r="BD27" i="28"/>
  <c r="BC27" i="28"/>
  <c r="AW27" i="28"/>
  <c r="AV27" i="28"/>
  <c r="AP27" i="28"/>
  <c r="AO27" i="28"/>
  <c r="AI27" i="28"/>
  <c r="AH27" i="28"/>
  <c r="AB27" i="28"/>
  <c r="AA27" i="28"/>
  <c r="U27" i="28"/>
  <c r="T27" i="28"/>
  <c r="N27" i="28"/>
  <c r="M27" i="28"/>
  <c r="G27" i="28"/>
  <c r="F27" i="28"/>
  <c r="CR26" i="28"/>
  <c r="CQ26" i="28"/>
  <c r="CT26" i="28" s="1"/>
  <c r="CO26" i="28"/>
  <c r="CM26" i="28"/>
  <c r="CK26" i="28"/>
  <c r="CL26" i="28" s="1"/>
  <c r="CJ26" i="28"/>
  <c r="CF26" i="28"/>
  <c r="CE26" i="28"/>
  <c r="BY26" i="28"/>
  <c r="BX26" i="28"/>
  <c r="BX25" i="28" s="1"/>
  <c r="BR26" i="28"/>
  <c r="BQ26" i="28"/>
  <c r="BK26" i="28"/>
  <c r="BJ26" i="28"/>
  <c r="BD26" i="28"/>
  <c r="BC26" i="28"/>
  <c r="AW26" i="28"/>
  <c r="AV26" i="28"/>
  <c r="AV25" i="28" s="1"/>
  <c r="AP26" i="28"/>
  <c r="AO26" i="28"/>
  <c r="AI26" i="28"/>
  <c r="AH26" i="28"/>
  <c r="AB26" i="28"/>
  <c r="AA26" i="28"/>
  <c r="U26" i="28"/>
  <c r="T26" i="28"/>
  <c r="CS26" i="28" s="1"/>
  <c r="N26" i="28"/>
  <c r="M26" i="28"/>
  <c r="G26" i="28"/>
  <c r="F26" i="28"/>
  <c r="CR25" i="28"/>
  <c r="CT25" i="28" s="1"/>
  <c r="CQ25" i="28"/>
  <c r="CO25" i="28"/>
  <c r="CJ25" i="28"/>
  <c r="CF25" i="28"/>
  <c r="BY25" i="28"/>
  <c r="BW25" i="28"/>
  <c r="BP25" i="28"/>
  <c r="BR25" i="28" s="1"/>
  <c r="BJ25" i="28"/>
  <c r="BI25" i="28"/>
  <c r="BK25" i="28" s="1"/>
  <c r="BD25" i="28"/>
  <c r="BB25" i="28"/>
  <c r="AW25" i="28"/>
  <c r="AU25" i="28"/>
  <c r="AN25" i="28"/>
  <c r="AP25" i="28" s="1"/>
  <c r="AG25" i="28"/>
  <c r="AI25" i="28" s="1"/>
  <c r="AB25" i="28"/>
  <c r="Z25" i="28"/>
  <c r="U25" i="28"/>
  <c r="S25" i="28"/>
  <c r="N25" i="28"/>
  <c r="L25" i="28"/>
  <c r="F25" i="28"/>
  <c r="E25" i="28"/>
  <c r="CR24" i="28"/>
  <c r="CQ24" i="28"/>
  <c r="CT24" i="28" s="1"/>
  <c r="CO24" i="28"/>
  <c r="CK24" i="28"/>
  <c r="CJ24" i="28"/>
  <c r="CL24" i="28" s="1"/>
  <c r="CF24" i="28"/>
  <c r="CE24" i="28"/>
  <c r="BY24" i="28"/>
  <c r="BX24" i="28"/>
  <c r="BR24" i="28"/>
  <c r="BQ24" i="28"/>
  <c r="BK24" i="28"/>
  <c r="BJ24" i="28"/>
  <c r="BD24" i="28"/>
  <c r="BC24" i="28"/>
  <c r="AW24" i="28"/>
  <c r="AV24" i="28"/>
  <c r="AP24" i="28"/>
  <c r="AO24" i="28"/>
  <c r="AI24" i="28"/>
  <c r="AH24" i="28"/>
  <c r="AB24" i="28"/>
  <c r="AA24" i="28"/>
  <c r="U24" i="28"/>
  <c r="T24" i="28"/>
  <c r="N24" i="28"/>
  <c r="M24" i="28"/>
  <c r="G24" i="28"/>
  <c r="F24" i="28"/>
  <c r="CS24" i="28" s="1"/>
  <c r="CQ23" i="28"/>
  <c r="CO23" i="28"/>
  <c r="CJ23" i="28"/>
  <c r="CF23" i="28"/>
  <c r="CE23" i="28"/>
  <c r="BW23" i="28"/>
  <c r="BR23" i="28"/>
  <c r="BQ23" i="28"/>
  <c r="BP23" i="28"/>
  <c r="BK23" i="28"/>
  <c r="BI23" i="28"/>
  <c r="BI45" i="28" s="1"/>
  <c r="BB23" i="28"/>
  <c r="BD23" i="28" s="1"/>
  <c r="AW23" i="28"/>
  <c r="AU23" i="28"/>
  <c r="AO23" i="28"/>
  <c r="AN23" i="28"/>
  <c r="AP23" i="28" s="1"/>
  <c r="AG23" i="28"/>
  <c r="AG45" i="28" s="1"/>
  <c r="AI45" i="28" s="1"/>
  <c r="AB23" i="28"/>
  <c r="AA23" i="28"/>
  <c r="Z23" i="28"/>
  <c r="U23" i="28"/>
  <c r="S23" i="28"/>
  <c r="S45" i="28" s="1"/>
  <c r="U45" i="28" s="1"/>
  <c r="M23" i="28"/>
  <c r="L23" i="28"/>
  <c r="L45" i="28" s="1"/>
  <c r="N45" i="28" s="1"/>
  <c r="E23" i="28"/>
  <c r="CR23" i="28" s="1"/>
  <c r="CT23" i="28" s="1"/>
  <c r="CO22" i="28"/>
  <c r="CC22" i="28"/>
  <c r="BY22" i="28"/>
  <c r="BV22" i="28"/>
  <c r="BR22" i="28"/>
  <c r="BO22" i="28"/>
  <c r="BQ22" i="28" s="1"/>
  <c r="BJ22" i="28"/>
  <c r="BI22" i="28"/>
  <c r="BK22" i="28" s="1"/>
  <c r="BH22" i="28"/>
  <c r="BC22" i="28"/>
  <c r="BB22" i="28"/>
  <c r="BD22" i="28" s="1"/>
  <c r="BA22" i="28"/>
  <c r="AO22" i="28"/>
  <c r="AN22" i="28"/>
  <c r="AP22" i="28" s="1"/>
  <c r="AM22" i="28"/>
  <c r="AH22" i="28"/>
  <c r="AG22" i="28"/>
  <c r="AI22" i="28" s="1"/>
  <c r="AF22" i="28"/>
  <c r="AA22" i="28"/>
  <c r="Z22" i="28"/>
  <c r="AB22" i="28" s="1"/>
  <c r="Y22" i="28"/>
  <c r="T22" i="28"/>
  <c r="S22" i="28"/>
  <c r="U22" i="28" s="1"/>
  <c r="R22" i="28"/>
  <c r="M22" i="28"/>
  <c r="L22" i="28"/>
  <c r="N22" i="28" s="1"/>
  <c r="K22" i="28"/>
  <c r="F22" i="28"/>
  <c r="E22" i="28"/>
  <c r="CR22" i="28" s="1"/>
  <c r="CR21" i="28"/>
  <c r="CT21" i="28" s="1"/>
  <c r="CQ21" i="28"/>
  <c r="CO21" i="28"/>
  <c r="CL21" i="28"/>
  <c r="CK21" i="28"/>
  <c r="CM21" i="28" s="1"/>
  <c r="CJ21" i="28"/>
  <c r="CF21" i="28"/>
  <c r="CE21" i="28"/>
  <c r="BY21" i="28"/>
  <c r="BX21" i="28"/>
  <c r="BR21" i="28"/>
  <c r="BQ21" i="28"/>
  <c r="BK21" i="28"/>
  <c r="BJ21" i="28"/>
  <c r="BD21" i="28"/>
  <c r="BC21" i="28"/>
  <c r="AW21" i="28"/>
  <c r="AV21" i="28"/>
  <c r="AP21" i="28"/>
  <c r="AO21" i="28"/>
  <c r="AI21" i="28"/>
  <c r="AH21" i="28"/>
  <c r="AA21" i="28"/>
  <c r="U21" i="28"/>
  <c r="T21" i="28"/>
  <c r="N21" i="28"/>
  <c r="M21" i="28"/>
  <c r="G21" i="28"/>
  <c r="F21" i="28"/>
  <c r="CR20" i="28"/>
  <c r="CT20" i="28" s="1"/>
  <c r="CQ20" i="28"/>
  <c r="CO20" i="28"/>
  <c r="CL20" i="28"/>
  <c r="CK20" i="28"/>
  <c r="CM20" i="28" s="1"/>
  <c r="CJ20" i="28"/>
  <c r="CF20" i="28"/>
  <c r="CE20" i="28"/>
  <c r="BY20" i="28"/>
  <c r="BX20" i="28"/>
  <c r="BR20" i="28"/>
  <c r="BQ20" i="28"/>
  <c r="BK20" i="28"/>
  <c r="BJ20" i="28"/>
  <c r="BD20" i="28"/>
  <c r="BC20" i="28"/>
  <c r="AW20" i="28"/>
  <c r="AV20" i="28"/>
  <c r="AP20" i="28"/>
  <c r="AO20" i="28"/>
  <c r="AI20" i="28"/>
  <c r="AH20" i="28"/>
  <c r="AA20" i="28"/>
  <c r="U20" i="28"/>
  <c r="T20" i="28"/>
  <c r="N20" i="28"/>
  <c r="M20" i="28"/>
  <c r="G20" i="28"/>
  <c r="F20" i="28"/>
  <c r="CR19" i="28"/>
  <c r="CO19" i="28"/>
  <c r="CK19" i="28"/>
  <c r="CF19" i="28"/>
  <c r="CE19" i="28"/>
  <c r="CE22" i="28" s="1"/>
  <c r="BY19" i="28"/>
  <c r="BX19" i="28"/>
  <c r="BX22" i="28" s="1"/>
  <c r="BR19" i="28"/>
  <c r="BQ19" i="28"/>
  <c r="BK19" i="28"/>
  <c r="BJ19" i="28"/>
  <c r="AV19" i="28"/>
  <c r="AV22" i="28" s="1"/>
  <c r="AU19" i="28"/>
  <c r="AU22" i="28" s="1"/>
  <c r="AT19" i="28"/>
  <c r="CQ19" i="28" s="1"/>
  <c r="AB19" i="28"/>
  <c r="AA19" i="28"/>
  <c r="U19" i="28"/>
  <c r="T19" i="28"/>
  <c r="N19" i="28"/>
  <c r="CO18" i="28"/>
  <c r="BV18" i="28"/>
  <c r="D18" i="28"/>
  <c r="D50" i="28" s="1"/>
  <c r="CT17" i="28"/>
  <c r="CR17" i="28"/>
  <c r="CS17" i="28" s="1"/>
  <c r="CQ17" i="28"/>
  <c r="CO17" i="28"/>
  <c r="CK17" i="28"/>
  <c r="CJ17" i="28"/>
  <c r="CM17" i="28" s="1"/>
  <c r="CF17" i="28"/>
  <c r="CE17" i="28"/>
  <c r="BY17" i="28"/>
  <c r="BX17" i="28"/>
  <c r="BR17" i="28"/>
  <c r="BQ17" i="28"/>
  <c r="BK17" i="28"/>
  <c r="BJ17" i="28"/>
  <c r="BD17" i="28"/>
  <c r="BC17" i="28"/>
  <c r="AW17" i="28"/>
  <c r="AV17" i="28"/>
  <c r="AP17" i="28"/>
  <c r="AO17" i="28"/>
  <c r="AI17" i="28"/>
  <c r="AH17" i="28"/>
  <c r="AB17" i="28"/>
  <c r="AA17" i="28"/>
  <c r="U17" i="28"/>
  <c r="T17" i="28"/>
  <c r="N17" i="28"/>
  <c r="M17" i="28"/>
  <c r="G17" i="28"/>
  <c r="F17" i="28"/>
  <c r="CR16" i="28"/>
  <c r="CQ16" i="28"/>
  <c r="CT16" i="28" s="1"/>
  <c r="CO16" i="28"/>
  <c r="CK16" i="28"/>
  <c r="CM16" i="28" s="1"/>
  <c r="CJ16" i="28"/>
  <c r="CF16" i="28"/>
  <c r="CE16" i="28"/>
  <c r="BY16" i="28"/>
  <c r="BX16" i="28"/>
  <c r="BR16" i="28"/>
  <c r="BQ16" i="28"/>
  <c r="BK16" i="28"/>
  <c r="BJ16" i="28"/>
  <c r="BD16" i="28"/>
  <c r="BC16" i="28"/>
  <c r="AW16" i="28"/>
  <c r="AV16" i="28"/>
  <c r="AP16" i="28"/>
  <c r="AO16" i="28"/>
  <c r="AI16" i="28"/>
  <c r="AH16" i="28"/>
  <c r="AB16" i="28"/>
  <c r="AA16" i="28"/>
  <c r="U16" i="28"/>
  <c r="T16" i="28"/>
  <c r="N16" i="28"/>
  <c r="M16" i="28"/>
  <c r="G16" i="28"/>
  <c r="F16" i="28"/>
  <c r="CR15" i="28"/>
  <c r="CT15" i="28" s="1"/>
  <c r="CQ15" i="28"/>
  <c r="CO15" i="28"/>
  <c r="CL15" i="28"/>
  <c r="CK15" i="28"/>
  <c r="CM15" i="28" s="1"/>
  <c r="CJ15" i="28"/>
  <c r="CF15" i="28"/>
  <c r="CE15" i="28"/>
  <c r="BY15" i="28"/>
  <c r="BX15" i="28"/>
  <c r="BR15" i="28"/>
  <c r="BQ15" i="28"/>
  <c r="BK15" i="28"/>
  <c r="BJ15" i="28"/>
  <c r="BD15" i="28"/>
  <c r="BC15" i="28"/>
  <c r="AW15" i="28"/>
  <c r="AV15" i="28"/>
  <c r="AP15" i="28"/>
  <c r="AO15" i="28"/>
  <c r="AI15" i="28"/>
  <c r="AH15" i="28"/>
  <c r="AB15" i="28"/>
  <c r="AA15" i="28"/>
  <c r="U15" i="28"/>
  <c r="T15" i="28"/>
  <c r="N15" i="28"/>
  <c r="M15" i="28"/>
  <c r="G15" i="28"/>
  <c r="F15" i="28"/>
  <c r="CO14" i="28"/>
  <c r="CF14" i="28"/>
  <c r="CE14" i="28"/>
  <c r="CC14" i="28"/>
  <c r="CC18" i="28" s="1"/>
  <c r="CF18" i="28" s="1"/>
  <c r="BX14" i="28"/>
  <c r="BW14" i="28"/>
  <c r="BW18" i="28" s="1"/>
  <c r="BY18" i="28" s="1"/>
  <c r="BP14" i="28"/>
  <c r="BR14" i="28" s="1"/>
  <c r="BO14" i="28"/>
  <c r="BO18" i="28" s="1"/>
  <c r="BI14" i="28"/>
  <c r="BK14" i="28" s="1"/>
  <c r="BH14" i="28"/>
  <c r="BB14" i="28"/>
  <c r="BD14" i="28" s="1"/>
  <c r="BA14" i="28"/>
  <c r="BA18" i="28" s="1"/>
  <c r="AU14" i="28"/>
  <c r="AU18" i="28" s="1"/>
  <c r="AW18" i="28" s="1"/>
  <c r="AT14" i="28"/>
  <c r="AT18" i="28" s="1"/>
  <c r="AN14" i="28"/>
  <c r="AP14" i="28" s="1"/>
  <c r="AM14" i="28"/>
  <c r="AG14" i="28"/>
  <c r="AI14" i="28" s="1"/>
  <c r="AF14" i="28"/>
  <c r="AF18" i="28" s="1"/>
  <c r="Z14" i="28"/>
  <c r="AB14" i="28" s="1"/>
  <c r="Y14" i="28"/>
  <c r="Y18" i="28" s="1"/>
  <c r="S14" i="28"/>
  <c r="U14" i="28" s="1"/>
  <c r="R14" i="28"/>
  <c r="R18" i="28" s="1"/>
  <c r="L14" i="28"/>
  <c r="N14" i="28" s="1"/>
  <c r="K14" i="28"/>
  <c r="CJ14" i="28" s="1"/>
  <c r="E14" i="28"/>
  <c r="CK14" i="28" s="1"/>
  <c r="CR13" i="28"/>
  <c r="CQ13" i="28"/>
  <c r="CT13" i="28" s="1"/>
  <c r="CO13" i="28"/>
  <c r="CK13" i="28"/>
  <c r="CM13" i="28" s="1"/>
  <c r="CJ13" i="28"/>
  <c r="CF13" i="28"/>
  <c r="CE13" i="28"/>
  <c r="BY13" i="28"/>
  <c r="BX13" i="28"/>
  <c r="BR13" i="28"/>
  <c r="BQ13" i="28"/>
  <c r="BK13" i="28"/>
  <c r="BJ13" i="28"/>
  <c r="BD13" i="28"/>
  <c r="BC13" i="28"/>
  <c r="AW13" i="28"/>
  <c r="AV13" i="28"/>
  <c r="AP13" i="28"/>
  <c r="AO13" i="28"/>
  <c r="AI13" i="28"/>
  <c r="AH13" i="28"/>
  <c r="AB13" i="28"/>
  <c r="AA13" i="28"/>
  <c r="U13" i="28"/>
  <c r="T13" i="28"/>
  <c r="N13" i="28"/>
  <c r="M13" i="28"/>
  <c r="G13" i="28"/>
  <c r="F13" i="28"/>
  <c r="CQ12" i="28"/>
  <c r="CO12" i="28"/>
  <c r="CJ12" i="28"/>
  <c r="CF12" i="28"/>
  <c r="CE12" i="28"/>
  <c r="BY12" i="28"/>
  <c r="BX12" i="28"/>
  <c r="BW12" i="28"/>
  <c r="BR12" i="28"/>
  <c r="BP12" i="28"/>
  <c r="BQ12" i="28" s="1"/>
  <c r="BJ12" i="28"/>
  <c r="BI12" i="28"/>
  <c r="BK12" i="28" s="1"/>
  <c r="BB12" i="28"/>
  <c r="BD12" i="28" s="1"/>
  <c r="AW12" i="28"/>
  <c r="AV12" i="28"/>
  <c r="AU12" i="28"/>
  <c r="AP12" i="28"/>
  <c r="AO12" i="28"/>
  <c r="AN12" i="28"/>
  <c r="AH12" i="28"/>
  <c r="AG12" i="28"/>
  <c r="AI12" i="28" s="1"/>
  <c r="Z12" i="28"/>
  <c r="AB12" i="28" s="1"/>
  <c r="U12" i="28"/>
  <c r="T12" i="28"/>
  <c r="S12" i="28"/>
  <c r="N12" i="28"/>
  <c r="L12" i="28"/>
  <c r="M12" i="28" s="1"/>
  <c r="F12" i="28"/>
  <c r="E12" i="28"/>
  <c r="CK12" i="28" s="1"/>
  <c r="CR11" i="28"/>
  <c r="CT11" i="28" s="1"/>
  <c r="CQ11" i="28"/>
  <c r="CO11" i="28"/>
  <c r="CL11" i="28"/>
  <c r="CK11" i="28"/>
  <c r="CM11" i="28" s="1"/>
  <c r="CJ11" i="28"/>
  <c r="CF11" i="28"/>
  <c r="CE11" i="28"/>
  <c r="BY11" i="28"/>
  <c r="BX11" i="28"/>
  <c r="BR11" i="28"/>
  <c r="BQ11" i="28"/>
  <c r="BK11" i="28"/>
  <c r="BJ11" i="28"/>
  <c r="BD11" i="28"/>
  <c r="BC11" i="28"/>
  <c r="AW11" i="28"/>
  <c r="AV11" i="28"/>
  <c r="AP11" i="28"/>
  <c r="AO11" i="28"/>
  <c r="AI11" i="28"/>
  <c r="AH11" i="28"/>
  <c r="AB11" i="28"/>
  <c r="AA11" i="28"/>
  <c r="U11" i="28"/>
  <c r="T11" i="28"/>
  <c r="N11" i="28"/>
  <c r="M11" i="28"/>
  <c r="G11" i="28"/>
  <c r="F11" i="28"/>
  <c r="CQ10" i="28"/>
  <c r="CO10" i="28"/>
  <c r="CJ10" i="28"/>
  <c r="CF10" i="28"/>
  <c r="CE10" i="28"/>
  <c r="BY10" i="28"/>
  <c r="BW10" i="28"/>
  <c r="BX10" i="28" s="1"/>
  <c r="BR10" i="28"/>
  <c r="BQ10" i="28"/>
  <c r="BP10" i="28"/>
  <c r="BK10" i="28"/>
  <c r="BI10" i="28"/>
  <c r="BJ10" i="28" s="1"/>
  <c r="BC10" i="28"/>
  <c r="BB10" i="28"/>
  <c r="BD10" i="28" s="1"/>
  <c r="AU10" i="28"/>
  <c r="AW10" i="28" s="1"/>
  <c r="AP10" i="28"/>
  <c r="AO10" i="28"/>
  <c r="AN10" i="28"/>
  <c r="AI10" i="28"/>
  <c r="AH10" i="28"/>
  <c r="AG10" i="28"/>
  <c r="AA10" i="28"/>
  <c r="Z10" i="28"/>
  <c r="AB10" i="28" s="1"/>
  <c r="U10" i="28"/>
  <c r="S10" i="28"/>
  <c r="T10" i="28" s="1"/>
  <c r="N10" i="28"/>
  <c r="M10" i="28"/>
  <c r="L10" i="28"/>
  <c r="G10" i="28"/>
  <c r="E10" i="28"/>
  <c r="CR10" i="28" s="1"/>
  <c r="CT9" i="28"/>
  <c r="CS9" i="28"/>
  <c r="CR9" i="28"/>
  <c r="CX9" i="28" s="1"/>
  <c r="CQ9" i="28"/>
  <c r="CO9" i="28"/>
  <c r="CL9" i="28"/>
  <c r="CK9" i="28"/>
  <c r="CJ9" i="28"/>
  <c r="CM9" i="28" s="1"/>
  <c r="CF9" i="28"/>
  <c r="CE9" i="28"/>
  <c r="BY9" i="28"/>
  <c r="BX9" i="28"/>
  <c r="BR9" i="28"/>
  <c r="BQ9" i="28"/>
  <c r="BK9" i="28"/>
  <c r="BJ9" i="28"/>
  <c r="BD9" i="28"/>
  <c r="BC9" i="28"/>
  <c r="AW9" i="28"/>
  <c r="AV9" i="28"/>
  <c r="AP9" i="28"/>
  <c r="AO9" i="28"/>
  <c r="AI9" i="28"/>
  <c r="AH9" i="28"/>
  <c r="AB9" i="28"/>
  <c r="AA9" i="28"/>
  <c r="U9" i="28"/>
  <c r="T9" i="28"/>
  <c r="N9" i="28"/>
  <c r="M9" i="28"/>
  <c r="G9" i="28"/>
  <c r="F9" i="28"/>
  <c r="CR8" i="28"/>
  <c r="CX8" i="28" s="1"/>
  <c r="CQ8" i="28"/>
  <c r="CO8" i="28"/>
  <c r="CL8" i="28"/>
  <c r="CK8" i="28"/>
  <c r="CM8" i="28" s="1"/>
  <c r="CJ8" i="28"/>
  <c r="CF8" i="28"/>
  <c r="CE8" i="28"/>
  <c r="BY8" i="28"/>
  <c r="BX8" i="28"/>
  <c r="BR8" i="28"/>
  <c r="BQ8" i="28"/>
  <c r="BK8" i="28"/>
  <c r="BJ8" i="28"/>
  <c r="BD8" i="28"/>
  <c r="BC8" i="28"/>
  <c r="AW8" i="28"/>
  <c r="AP8" i="28"/>
  <c r="AO8" i="28"/>
  <c r="AI8" i="28"/>
  <c r="AH8" i="28"/>
  <c r="AB8" i="28"/>
  <c r="AA8" i="28"/>
  <c r="U8" i="28"/>
  <c r="T8" i="28"/>
  <c r="N8" i="28"/>
  <c r="M8" i="28"/>
  <c r="G8" i="28"/>
  <c r="F8" i="28"/>
  <c r="CS7" i="28"/>
  <c r="CR7" i="28"/>
  <c r="CX7" i="28" s="1"/>
  <c r="CQ7" i="28"/>
  <c r="CO7" i="28"/>
  <c r="CM7" i="28"/>
  <c r="CL7" i="28"/>
  <c r="CK7" i="28"/>
  <c r="CJ7" i="28"/>
  <c r="CF7" i="28"/>
  <c r="CE7" i="28"/>
  <c r="BY7" i="28"/>
  <c r="BX7" i="28"/>
  <c r="BR7" i="28"/>
  <c r="BQ7" i="28"/>
  <c r="BK7" i="28"/>
  <c r="BJ7" i="28"/>
  <c r="BD7" i="28"/>
  <c r="BC7" i="28"/>
  <c r="AW7" i="28"/>
  <c r="AP7" i="28"/>
  <c r="AO7" i="28"/>
  <c r="AI7" i="28"/>
  <c r="AH7" i="28"/>
  <c r="AB7" i="28"/>
  <c r="AA7" i="28"/>
  <c r="U7" i="28"/>
  <c r="T7" i="28"/>
  <c r="N7" i="28"/>
  <c r="M7" i="28"/>
  <c r="G7" i="28"/>
  <c r="F7" i="28"/>
  <c r="CO6" i="28"/>
  <c r="CF6" i="28"/>
  <c r="CE6" i="28"/>
  <c r="BY6" i="28"/>
  <c r="BW6" i="28"/>
  <c r="BX6" i="28" s="1"/>
  <c r="BR6" i="28"/>
  <c r="BQ6" i="28"/>
  <c r="BP6" i="28"/>
  <c r="BK6" i="28"/>
  <c r="BI6" i="28"/>
  <c r="BJ6" i="28" s="1"/>
  <c r="BH6" i="28"/>
  <c r="BH18" i="28" s="1"/>
  <c r="BD6" i="28"/>
  <c r="BC6" i="28"/>
  <c r="BB6" i="28"/>
  <c r="AV6" i="28"/>
  <c r="AU6" i="28"/>
  <c r="AW6" i="28" s="1"/>
  <c r="AP6" i="28"/>
  <c r="AN6" i="28"/>
  <c r="AO6" i="28" s="1"/>
  <c r="AM6" i="28"/>
  <c r="AM18" i="28" s="1"/>
  <c r="AG6" i="28"/>
  <c r="AI6" i="28" s="1"/>
  <c r="AB6" i="28"/>
  <c r="AA6" i="28"/>
  <c r="Z6" i="28"/>
  <c r="U6" i="28"/>
  <c r="T6" i="28"/>
  <c r="S6" i="28"/>
  <c r="M6" i="28"/>
  <c r="L6" i="28"/>
  <c r="N6" i="28" s="1"/>
  <c r="K6" i="28"/>
  <c r="CQ6" i="28" s="1"/>
  <c r="F6" i="28"/>
  <c r="E6" i="28"/>
  <c r="CR6" i="28" s="1"/>
  <c r="CR5" i="28"/>
  <c r="CT5" i="28" s="1"/>
  <c r="CQ5" i="28"/>
  <c r="CO5" i="28"/>
  <c r="CL5" i="28"/>
  <c r="CK5" i="28"/>
  <c r="CM5" i="28" s="1"/>
  <c r="CJ5" i="28"/>
  <c r="CF5" i="28"/>
  <c r="CE5" i="28"/>
  <c r="BY5" i="28"/>
  <c r="BX5" i="28"/>
  <c r="BR5" i="28"/>
  <c r="BQ5" i="28"/>
  <c r="BK5" i="28"/>
  <c r="BJ5" i="28"/>
  <c r="BD5" i="28"/>
  <c r="BC5" i="28"/>
  <c r="AW5" i="28"/>
  <c r="AV5" i="28"/>
  <c r="AP5" i="28"/>
  <c r="AO5" i="28"/>
  <c r="AI5" i="28"/>
  <c r="AH5" i="28"/>
  <c r="AB5" i="28"/>
  <c r="AA5" i="28"/>
  <c r="U5" i="28"/>
  <c r="T5" i="28"/>
  <c r="N5" i="28"/>
  <c r="M5" i="28"/>
  <c r="G5" i="28"/>
  <c r="F5" i="28"/>
  <c r="CQ4" i="28"/>
  <c r="CO4" i="28"/>
  <c r="CJ4" i="28"/>
  <c r="CF4" i="28"/>
  <c r="CE4" i="28"/>
  <c r="CE18" i="28" s="1"/>
  <c r="BY4" i="28"/>
  <c r="BW4" i="28"/>
  <c r="BX4" i="28" s="1"/>
  <c r="BX18" i="28" s="1"/>
  <c r="BR4" i="28"/>
  <c r="BQ4" i="28"/>
  <c r="BP4" i="28"/>
  <c r="BP18" i="28" s="1"/>
  <c r="BK4" i="28"/>
  <c r="BI4" i="28"/>
  <c r="BJ4" i="28" s="1"/>
  <c r="BC4" i="28"/>
  <c r="BB4" i="28"/>
  <c r="BB18" i="28" s="1"/>
  <c r="AU4" i="28"/>
  <c r="AW4" i="28" s="1"/>
  <c r="AP4" i="28"/>
  <c r="AO4" i="28"/>
  <c r="AN4" i="28"/>
  <c r="AN18" i="28" s="1"/>
  <c r="AI4" i="28"/>
  <c r="AH4" i="28"/>
  <c r="AG4" i="28"/>
  <c r="AG18" i="28" s="1"/>
  <c r="AI18" i="28" s="1"/>
  <c r="AA4" i="28"/>
  <c r="Z4" i="28"/>
  <c r="Z18" i="28" s="1"/>
  <c r="AB18" i="28" s="1"/>
  <c r="U4" i="28"/>
  <c r="S4" i="28"/>
  <c r="T4" i="28" s="1"/>
  <c r="N4" i="28"/>
  <c r="M4" i="28"/>
  <c r="L4" i="28"/>
  <c r="L18" i="28" s="1"/>
  <c r="G4" i="28"/>
  <c r="E4" i="28"/>
  <c r="CR4" i="28" s="1"/>
  <c r="CS4" i="28" l="1"/>
  <c r="CT4" i="28"/>
  <c r="BD18" i="28"/>
  <c r="CK22" i="28"/>
  <c r="CT22" i="28"/>
  <c r="BC18" i="28"/>
  <c r="CL12" i="28"/>
  <c r="CM12" i="28"/>
  <c r="CS39" i="28"/>
  <c r="AO18" i="28"/>
  <c r="AP18" i="28"/>
  <c r="BR18" i="28"/>
  <c r="CS6" i="28"/>
  <c r="CT6" i="28"/>
  <c r="CT19" i="28"/>
  <c r="CL14" i="28"/>
  <c r="CM14" i="28"/>
  <c r="CS10" i="28"/>
  <c r="CT10" i="28"/>
  <c r="AF50" i="28"/>
  <c r="AF79" i="28" s="1"/>
  <c r="AF82" i="28" s="1"/>
  <c r="CR72" i="28"/>
  <c r="CT68" i="28"/>
  <c r="CS68" i="28"/>
  <c r="AB4" i="28"/>
  <c r="AV4" i="28"/>
  <c r="AV18" i="28" s="1"/>
  <c r="CS5" i="28"/>
  <c r="AH6" i="28"/>
  <c r="AH18" i="28" s="1"/>
  <c r="CJ6" i="28"/>
  <c r="CT7" i="28"/>
  <c r="CS8" i="28"/>
  <c r="AV10" i="28"/>
  <c r="CS11" i="28"/>
  <c r="BC12" i="28"/>
  <c r="CL13" i="28"/>
  <c r="F14" i="28"/>
  <c r="T14" i="28"/>
  <c r="T18" i="28" s="1"/>
  <c r="AH14" i="28"/>
  <c r="AV14" i="28"/>
  <c r="BJ14" i="28"/>
  <c r="BJ18" i="28" s="1"/>
  <c r="BY14" i="28"/>
  <c r="CL16" i="28"/>
  <c r="D82" i="28"/>
  <c r="D83" i="28"/>
  <c r="AW19" i="28"/>
  <c r="CS19" i="28"/>
  <c r="CS20" i="28"/>
  <c r="CS22" i="28" s="1"/>
  <c r="CS21" i="28"/>
  <c r="BV50" i="28"/>
  <c r="BV79" i="28" s="1"/>
  <c r="BV82" i="28" s="1"/>
  <c r="F23" i="28"/>
  <c r="Z45" i="28"/>
  <c r="CK23" i="28"/>
  <c r="CM24" i="28"/>
  <c r="BQ25" i="28"/>
  <c r="CS31" i="28"/>
  <c r="CS35" i="28"/>
  <c r="CM42" i="28"/>
  <c r="CL42" i="28"/>
  <c r="AM50" i="28"/>
  <c r="AM79" i="28" s="1"/>
  <c r="AM82" i="28" s="1"/>
  <c r="BW50" i="28"/>
  <c r="M62" i="28"/>
  <c r="AO62" i="28"/>
  <c r="BQ62" i="28"/>
  <c r="CM61" i="28"/>
  <c r="CL61" i="28"/>
  <c r="AO73" i="28"/>
  <c r="BO76" i="28"/>
  <c r="AI73" i="28"/>
  <c r="AP73" i="28"/>
  <c r="CK4" i="28"/>
  <c r="CK6" i="28"/>
  <c r="CT8" i="28"/>
  <c r="CK10" i="28"/>
  <c r="G14" i="28"/>
  <c r="AW14" i="28"/>
  <c r="CQ14" i="28"/>
  <c r="CL17" i="28"/>
  <c r="E18" i="28"/>
  <c r="S18" i="28"/>
  <c r="U18" i="28" s="1"/>
  <c r="BI18" i="28"/>
  <c r="BK18" i="28" s="1"/>
  <c r="CJ19" i="28"/>
  <c r="CL19" i="28" s="1"/>
  <c r="AT22" i="28"/>
  <c r="AT50" i="28" s="1"/>
  <c r="AT79" i="28" s="1"/>
  <c r="AT82" i="28" s="1"/>
  <c r="G23" i="28"/>
  <c r="AU45" i="28"/>
  <c r="AW45" i="28" s="1"/>
  <c r="AV23" i="28"/>
  <c r="AV45" i="28" s="1"/>
  <c r="BQ45" i="28"/>
  <c r="M25" i="28"/>
  <c r="M45" i="28" s="1"/>
  <c r="BD41" i="28"/>
  <c r="BC41" i="28"/>
  <c r="BA50" i="28"/>
  <c r="BA79" i="28" s="1"/>
  <c r="BA82" i="28" s="1"/>
  <c r="CR47" i="28"/>
  <c r="CT47" i="28" s="1"/>
  <c r="AU50" i="28"/>
  <c r="AW49" i="28"/>
  <c r="CS60" i="28"/>
  <c r="AV73" i="28"/>
  <c r="BX73" i="28"/>
  <c r="CT66" i="28"/>
  <c r="AT73" i="28"/>
  <c r="AT76" i="28" s="1"/>
  <c r="CM70" i="28"/>
  <c r="CL70" i="28"/>
  <c r="CR14" i="28"/>
  <c r="BB45" i="28"/>
  <c r="T62" i="28"/>
  <c r="AV62" i="28"/>
  <c r="BX62" i="28"/>
  <c r="CM54" i="28"/>
  <c r="CL54" i="28"/>
  <c r="BQ73" i="28"/>
  <c r="CM75" i="28"/>
  <c r="CL75" i="28"/>
  <c r="CL72" i="28"/>
  <c r="CR12" i="28"/>
  <c r="CC50" i="28"/>
  <c r="CQ22" i="28"/>
  <c r="BX23" i="28"/>
  <c r="BX45" i="28" s="1"/>
  <c r="BW45" i="28"/>
  <c r="BY45" i="28" s="1"/>
  <c r="CS29" i="28"/>
  <c r="BK43" i="28"/>
  <c r="BJ43" i="28"/>
  <c r="BH50" i="28"/>
  <c r="BH79" i="28" s="1"/>
  <c r="BH82" i="28" s="1"/>
  <c r="CO82" i="28"/>
  <c r="CS58" i="28"/>
  <c r="BA76" i="28"/>
  <c r="BV76" i="28"/>
  <c r="CQ72" i="28"/>
  <c r="U72" i="28"/>
  <c r="CJ72" i="28"/>
  <c r="R73" i="28"/>
  <c r="AO45" i="28"/>
  <c r="CM32" i="28"/>
  <c r="CL32" i="28"/>
  <c r="BD4" i="28"/>
  <c r="G6" i="28"/>
  <c r="G12" i="28"/>
  <c r="AA12" i="28"/>
  <c r="AA18" i="28" s="1"/>
  <c r="M14" i="28"/>
  <c r="M18" i="28" s="1"/>
  <c r="AA14" i="28"/>
  <c r="AO14" i="28"/>
  <c r="BC14" i="28"/>
  <c r="BQ14" i="28"/>
  <c r="BQ18" i="28" s="1"/>
  <c r="CS15" i="28"/>
  <c r="K18" i="28"/>
  <c r="CJ18" i="28" s="1"/>
  <c r="G22" i="28"/>
  <c r="N23" i="28"/>
  <c r="AH23" i="28"/>
  <c r="BC23" i="28"/>
  <c r="BC45" i="28" s="1"/>
  <c r="BY23" i="28"/>
  <c r="T25" i="28"/>
  <c r="AA25" i="28"/>
  <c r="AA45" i="28" s="1"/>
  <c r="BC25" i="28"/>
  <c r="CM29" i="28"/>
  <c r="CL29" i="28"/>
  <c r="CM33" i="28"/>
  <c r="CT36" i="28"/>
  <c r="CL41" i="28"/>
  <c r="E45" i="28"/>
  <c r="CK43" i="28"/>
  <c r="G43" i="28"/>
  <c r="CR43" i="28"/>
  <c r="CT43" i="28" s="1"/>
  <c r="F43" i="28"/>
  <c r="CQ45" i="28"/>
  <c r="BO50" i="28"/>
  <c r="BO79" i="28" s="1"/>
  <c r="BO82" i="28" s="1"/>
  <c r="CR49" i="28"/>
  <c r="AA62" i="28"/>
  <c r="AA73" i="28" s="1"/>
  <c r="BC62" i="28"/>
  <c r="CE62" i="28"/>
  <c r="CE73" i="28" s="1"/>
  <c r="M73" i="28"/>
  <c r="CS13" i="28"/>
  <c r="CS16" i="28"/>
  <c r="CF22" i="28"/>
  <c r="AI23" i="28"/>
  <c r="BK45" i="28"/>
  <c r="CE45" i="28"/>
  <c r="R50" i="28"/>
  <c r="R79" i="28" s="1"/>
  <c r="R82" i="28" s="1"/>
  <c r="AG50" i="28"/>
  <c r="CM53" i="28"/>
  <c r="CL53" i="28"/>
  <c r="CJ62" i="28"/>
  <c r="CM62" i="28" s="1"/>
  <c r="CQ62" i="28"/>
  <c r="CM64" i="28"/>
  <c r="CL64" i="28"/>
  <c r="BC73" i="28"/>
  <c r="CF73" i="28"/>
  <c r="Y76" i="28"/>
  <c r="F4" i="28"/>
  <c r="F10" i="28"/>
  <c r="T23" i="28"/>
  <c r="AN45" i="28"/>
  <c r="AP45" i="28" s="1"/>
  <c r="BJ23" i="28"/>
  <c r="BJ45" i="28" s="1"/>
  <c r="G25" i="28"/>
  <c r="CK25" i="28"/>
  <c r="CS27" i="28"/>
  <c r="CS44" i="28"/>
  <c r="Y50" i="28"/>
  <c r="Y79" i="28" s="1"/>
  <c r="Y82" i="28" s="1"/>
  <c r="BP50" i="28"/>
  <c r="BR49" i="28"/>
  <c r="CS62" i="28"/>
  <c r="AH62" i="28"/>
  <c r="AH73" i="28" s="1"/>
  <c r="BJ62" i="28"/>
  <c r="BJ73" i="28" s="1"/>
  <c r="G62" i="28"/>
  <c r="AI62" i="28"/>
  <c r="BH73" i="28"/>
  <c r="BH76" i="28" s="1"/>
  <c r="T73" i="28"/>
  <c r="D73" i="28"/>
  <c r="N73" i="28"/>
  <c r="CS40" i="28"/>
  <c r="CK49" i="28"/>
  <c r="AB66" i="28"/>
  <c r="AP66" i="28"/>
  <c r="BD66" i="28"/>
  <c r="BR66" i="28"/>
  <c r="CL33" i="28"/>
  <c r="CK39" i="28"/>
  <c r="AA43" i="28"/>
  <c r="S50" i="28"/>
  <c r="F62" i="28"/>
  <c r="F73" i="28" s="1"/>
  <c r="E73" i="28"/>
  <c r="S73" i="28"/>
  <c r="AU73" i="28"/>
  <c r="BI73" i="28"/>
  <c r="BW73" i="28"/>
  <c r="CR41" i="28"/>
  <c r="CT41" i="28" s="1"/>
  <c r="AA41" i="28"/>
  <c r="CS41" i="28" s="1"/>
  <c r="AH43" i="28"/>
  <c r="CK47" i="28"/>
  <c r="CL57" i="28"/>
  <c r="CR62" i="28"/>
  <c r="CT62" i="28" s="1"/>
  <c r="CK69" i="28"/>
  <c r="CL74" i="28"/>
  <c r="CL37" i="28"/>
  <c r="L50" i="28"/>
  <c r="CS70" i="28"/>
  <c r="CS64" i="28"/>
  <c r="CS66" i="28" s="1"/>
  <c r="CS73" i="28" s="1"/>
  <c r="CE76" i="28" l="1"/>
  <c r="CM43" i="28"/>
  <c r="CL43" i="28"/>
  <c r="CF50" i="28"/>
  <c r="CE50" i="28"/>
  <c r="CC79" i="28"/>
  <c r="CC82" i="28" s="1"/>
  <c r="CM23" i="28"/>
  <c r="CL23" i="28"/>
  <c r="N18" i="28"/>
  <c r="Z50" i="28"/>
  <c r="AB45" i="28"/>
  <c r="AM76" i="28"/>
  <c r="BQ50" i="28"/>
  <c r="BR50" i="28"/>
  <c r="T45" i="28"/>
  <c r="CM6" i="28"/>
  <c r="CL6" i="28"/>
  <c r="F45" i="28"/>
  <c r="CS23" i="28"/>
  <c r="G45" i="28"/>
  <c r="CR45" i="28"/>
  <c r="CT45" i="28" s="1"/>
  <c r="CK45" i="28"/>
  <c r="CT12" i="28"/>
  <c r="CS12" i="28"/>
  <c r="BI50" i="28"/>
  <c r="CR18" i="28"/>
  <c r="G18" i="28"/>
  <c r="CK18" i="28"/>
  <c r="CM4" i="28"/>
  <c r="CL4" i="28"/>
  <c r="AW22" i="28"/>
  <c r="CM10" i="28"/>
  <c r="CL10" i="28"/>
  <c r="AN50" i="28"/>
  <c r="U50" i="28"/>
  <c r="T50" i="28"/>
  <c r="E50" i="28"/>
  <c r="CM49" i="28"/>
  <c r="CL49" i="28"/>
  <c r="F18" i="28"/>
  <c r="CL62" i="28"/>
  <c r="K50" i="28"/>
  <c r="AH45" i="28"/>
  <c r="BP76" i="28"/>
  <c r="BR76" i="28" s="1"/>
  <c r="AW50" i="28"/>
  <c r="AV50" i="28"/>
  <c r="AV76" i="28" s="1"/>
  <c r="CS25" i="28"/>
  <c r="AI50" i="28"/>
  <c r="AH50" i="28"/>
  <c r="AH76" i="28" s="1"/>
  <c r="CM47" i="28"/>
  <c r="CL47" i="28"/>
  <c r="BY73" i="28"/>
  <c r="BW76" i="28"/>
  <c r="BY76" i="28" s="1"/>
  <c r="CS43" i="28"/>
  <c r="L76" i="28"/>
  <c r="AG76" i="28"/>
  <c r="AF76" i="28"/>
  <c r="CM19" i="28"/>
  <c r="U73" i="28"/>
  <c r="S76" i="28"/>
  <c r="BK73" i="28"/>
  <c r="BI76" i="28"/>
  <c r="BK76" i="28" s="1"/>
  <c r="CC76" i="28"/>
  <c r="CF76" i="28" s="1"/>
  <c r="R76" i="28"/>
  <c r="BB50" i="28"/>
  <c r="BD45" i="28"/>
  <c r="CS72" i="28"/>
  <c r="T76" i="28"/>
  <c r="BY50" i="28"/>
  <c r="BX50" i="28"/>
  <c r="BX76" i="28" s="1"/>
  <c r="G73" i="28"/>
  <c r="CK73" i="28"/>
  <c r="E76" i="28"/>
  <c r="CR50" i="28"/>
  <c r="CT49" i="28"/>
  <c r="CM69" i="28"/>
  <c r="CL69" i="28"/>
  <c r="CM39" i="28"/>
  <c r="CL39" i="28"/>
  <c r="CM25" i="28"/>
  <c r="CL25" i="28"/>
  <c r="AW73" i="28"/>
  <c r="AU76" i="28"/>
  <c r="D76" i="28"/>
  <c r="CQ73" i="28"/>
  <c r="CJ73" i="28"/>
  <c r="CQ18" i="28"/>
  <c r="BQ76" i="28"/>
  <c r="CT14" i="28"/>
  <c r="CS14" i="28"/>
  <c r="CS18" i="28" s="1"/>
  <c r="CR73" i="28"/>
  <c r="CJ22" i="28"/>
  <c r="CM22" i="28" s="1"/>
  <c r="CQ50" i="28" l="1"/>
  <c r="CJ50" i="28"/>
  <c r="K76" i="28"/>
  <c r="CM73" i="28"/>
  <c r="CL73" i="28"/>
  <c r="M50" i="28"/>
  <c r="M76" i="28" s="1"/>
  <c r="AA50" i="28"/>
  <c r="AA76" i="28" s="1"/>
  <c r="AB50" i="28"/>
  <c r="Z76" i="28"/>
  <c r="AG84" i="28"/>
  <c r="AI76" i="28"/>
  <c r="AO50" i="28"/>
  <c r="AO76" i="28" s="1"/>
  <c r="AP50" i="28"/>
  <c r="AN76" i="28"/>
  <c r="CM18" i="28"/>
  <c r="CL18" i="28"/>
  <c r="BC50" i="28"/>
  <c r="BC76" i="28" s="1"/>
  <c r="BD50" i="28"/>
  <c r="BB76" i="28"/>
  <c r="N76" i="28"/>
  <c r="L84" i="28"/>
  <c r="CS50" i="28"/>
  <c r="CS76" i="28" s="1"/>
  <c r="CT50" i="28"/>
  <c r="G76" i="28"/>
  <c r="E84" i="28"/>
  <c r="N50" i="28"/>
  <c r="CT18" i="28"/>
  <c r="CL22" i="28"/>
  <c r="CM45" i="28"/>
  <c r="CL45" i="28"/>
  <c r="CJ76" i="28"/>
  <c r="CQ76" i="28"/>
  <c r="E82" i="28"/>
  <c r="E83" i="28"/>
  <c r="G50" i="28"/>
  <c r="F50" i="28"/>
  <c r="E79" i="28"/>
  <c r="CK50" i="28"/>
  <c r="BK50" i="28"/>
  <c r="BJ50" i="28"/>
  <c r="BJ76" i="28" s="1"/>
  <c r="CR76" i="28"/>
  <c r="CT76" i="28" s="1"/>
  <c r="CT73" i="28"/>
  <c r="AU84" i="28"/>
  <c r="AW76" i="28"/>
  <c r="S84" i="28"/>
  <c r="U76" i="28"/>
  <c r="CS45" i="28"/>
  <c r="CM50" i="28" l="1"/>
  <c r="CL50" i="28"/>
  <c r="G83" i="28"/>
  <c r="G79" i="28"/>
  <c r="G82" i="28"/>
  <c r="BB84" i="28"/>
  <c r="BD76" i="28"/>
  <c r="AP76" i="28"/>
  <c r="AN84" i="28"/>
  <c r="CK76" i="28"/>
  <c r="F83" i="28"/>
  <c r="F79" i="28"/>
  <c r="F82" i="28"/>
  <c r="F76" i="28"/>
  <c r="AB76" i="28"/>
  <c r="Z84" i="28"/>
  <c r="CM76" i="28" l="1"/>
  <c r="CL76" i="28"/>
  <c r="H12" i="19" l="1"/>
  <c r="I12" i="19"/>
  <c r="H10" i="19"/>
  <c r="H8" i="19"/>
  <c r="H4" i="19"/>
  <c r="H2" i="19"/>
  <c r="H62" i="19"/>
  <c r="H59" i="19"/>
  <c r="H47" i="19"/>
  <c r="H45" i="19"/>
  <c r="H41" i="19"/>
  <c r="H39" i="19"/>
  <c r="H37" i="19"/>
  <c r="H23" i="19"/>
  <c r="H21" i="19"/>
  <c r="H43" i="19" s="1"/>
  <c r="I62" i="19"/>
  <c r="I59" i="19"/>
  <c r="I23" i="19"/>
  <c r="I47" i="19"/>
  <c r="I45" i="19"/>
  <c r="I41" i="19"/>
  <c r="I37" i="19"/>
  <c r="I21" i="19"/>
  <c r="I10" i="19"/>
  <c r="I8" i="19"/>
  <c r="I4" i="19"/>
  <c r="I2" i="19"/>
  <c r="I64" i="19" l="1"/>
  <c r="I16" i="19"/>
  <c r="H16" i="19"/>
  <c r="H48" i="19" s="1"/>
  <c r="H64" i="19"/>
  <c r="I43" i="19"/>
  <c r="I48" i="19" l="1"/>
  <c r="I66" i="19" s="1"/>
  <c r="H66" i="19"/>
  <c r="I50" i="9" l="1"/>
  <c r="D67" i="19" l="1"/>
  <c r="E67" i="19"/>
  <c r="F67" i="19"/>
  <c r="C67" i="19"/>
  <c r="G64" i="19"/>
  <c r="G66" i="19" s="1"/>
  <c r="G67" i="19" s="1"/>
  <c r="I61" i="9" l="1"/>
  <c r="E61" i="9"/>
  <c r="D61" i="9"/>
  <c r="E50" i="9"/>
  <c r="D50" i="9"/>
  <c r="F6" i="9"/>
  <c r="F7" i="9"/>
  <c r="F8" i="9"/>
  <c r="F10" i="9"/>
  <c r="G10" i="9"/>
  <c r="G12" i="9"/>
  <c r="G14" i="9"/>
  <c r="F15" i="9"/>
  <c r="F16" i="9"/>
  <c r="G16" i="9"/>
  <c r="F18" i="9"/>
  <c r="G18" i="9"/>
  <c r="F19" i="9"/>
  <c r="G20" i="9"/>
  <c r="F23" i="9"/>
  <c r="F26" i="9"/>
  <c r="G26" i="9"/>
  <c r="G27" i="9"/>
  <c r="F27" i="9"/>
  <c r="G28" i="9"/>
  <c r="G29" i="9"/>
  <c r="F29" i="9"/>
  <c r="F30" i="9"/>
  <c r="G30" i="9"/>
  <c r="F31" i="9"/>
  <c r="F32" i="9"/>
  <c r="G32" i="9"/>
  <c r="F34" i="9"/>
  <c r="G34" i="9"/>
  <c r="F35" i="9"/>
  <c r="G35" i="9"/>
  <c r="G36" i="9"/>
  <c r="F37" i="9"/>
  <c r="G37" i="9"/>
  <c r="G39" i="9"/>
  <c r="F39" i="9"/>
  <c r="F43" i="9"/>
  <c r="G43" i="9"/>
  <c r="F45" i="9"/>
  <c r="G45" i="9"/>
  <c r="G47" i="9"/>
  <c r="F47" i="9"/>
  <c r="F67" i="9"/>
  <c r="G67" i="9"/>
  <c r="F68" i="9"/>
  <c r="G68" i="9"/>
  <c r="H67" i="19" l="1"/>
  <c r="F61" i="9"/>
  <c r="D64" i="9"/>
  <c r="D66" i="9" s="1"/>
  <c r="D69" i="9" s="1"/>
  <c r="E64" i="9"/>
  <c r="E66" i="9" s="1"/>
  <c r="G61" i="9"/>
  <c r="G50" i="9"/>
  <c r="F50" i="9"/>
  <c r="F41" i="9"/>
  <c r="F33" i="9"/>
  <c r="G31" i="9"/>
  <c r="G19" i="9"/>
  <c r="G6" i="9"/>
  <c r="F14" i="9"/>
  <c r="F25" i="9"/>
  <c r="G23" i="9"/>
  <c r="G15" i="9"/>
  <c r="G7" i="9"/>
  <c r="G4" i="9"/>
  <c r="F36" i="9"/>
  <c r="F28" i="9"/>
  <c r="F20" i="9"/>
  <c r="F12" i="9"/>
  <c r="F4" i="9"/>
  <c r="G8" i="9"/>
  <c r="G41" i="9"/>
  <c r="G33" i="9"/>
  <c r="G25" i="9"/>
  <c r="F66" i="9" l="1"/>
  <c r="E69" i="9"/>
  <c r="F64" i="9"/>
  <c r="G64" i="9"/>
  <c r="G66" i="9"/>
  <c r="G69" i="9" l="1"/>
  <c r="F69" i="9"/>
  <c r="E65" i="18" l="1"/>
  <c r="CJ81" i="20" l="1"/>
  <c r="CJ78" i="20"/>
  <c r="CQ75" i="20"/>
  <c r="CY74" i="20"/>
  <c r="CZ74" i="20" s="1"/>
  <c r="DA74" i="20" s="1"/>
  <c r="CX74" i="20"/>
  <c r="CV74" i="20"/>
  <c r="CR74" i="20"/>
  <c r="CT74" i="20" s="1"/>
  <c r="CO74" i="20"/>
  <c r="CK74" i="20"/>
  <c r="CM74" i="20" s="1"/>
  <c r="CJ74" i="20"/>
  <c r="CF74" i="20"/>
  <c r="BY74" i="20"/>
  <c r="BR74" i="20"/>
  <c r="BK74" i="20"/>
  <c r="BD74" i="20"/>
  <c r="AW74" i="20"/>
  <c r="AP74" i="20"/>
  <c r="AI74" i="20"/>
  <c r="U74" i="20"/>
  <c r="N74" i="20"/>
  <c r="G74" i="20"/>
  <c r="F74" i="20"/>
  <c r="CY73" i="20"/>
  <c r="CZ73" i="20" s="1"/>
  <c r="DA73" i="20" s="1"/>
  <c r="CX73" i="20"/>
  <c r="CR73" i="20"/>
  <c r="CO73" i="20"/>
  <c r="CK73" i="20"/>
  <c r="CJ73" i="20"/>
  <c r="CF73" i="20"/>
  <c r="CE73" i="20"/>
  <c r="BY73" i="20"/>
  <c r="BR73" i="20"/>
  <c r="BK73" i="20"/>
  <c r="BD73" i="20"/>
  <c r="AW73" i="20"/>
  <c r="AV73" i="20"/>
  <c r="AP73" i="20"/>
  <c r="AO73" i="20"/>
  <c r="AI73" i="20"/>
  <c r="AH73" i="20"/>
  <c r="U73" i="20"/>
  <c r="T73" i="20"/>
  <c r="N73" i="20"/>
  <c r="M73" i="20"/>
  <c r="G73" i="20"/>
  <c r="F73" i="20"/>
  <c r="CQ71" i="20"/>
  <c r="CE71" i="20"/>
  <c r="CD71" i="20"/>
  <c r="CC71" i="20"/>
  <c r="BX71" i="20"/>
  <c r="BW71" i="20"/>
  <c r="BV71" i="20"/>
  <c r="BQ71" i="20"/>
  <c r="BP71" i="20"/>
  <c r="BO71" i="20"/>
  <c r="BI71" i="20"/>
  <c r="BH71" i="20"/>
  <c r="BB71" i="20"/>
  <c r="BA71" i="20"/>
  <c r="AY71" i="20"/>
  <c r="AU71" i="20"/>
  <c r="AT71" i="20"/>
  <c r="AR71" i="20"/>
  <c r="AN71" i="20"/>
  <c r="AM71" i="20"/>
  <c r="AK71" i="20"/>
  <c r="AG71" i="20"/>
  <c r="AF71" i="20"/>
  <c r="Z71" i="20"/>
  <c r="Y71" i="20"/>
  <c r="W71" i="20"/>
  <c r="R71" i="20"/>
  <c r="P71" i="20"/>
  <c r="L71" i="20"/>
  <c r="L72" i="20" s="1"/>
  <c r="K71" i="20"/>
  <c r="I71" i="20"/>
  <c r="E71" i="20"/>
  <c r="D71" i="20"/>
  <c r="CR70" i="20"/>
  <c r="CS70" i="20" s="1"/>
  <c r="CO70" i="20"/>
  <c r="CK70" i="20"/>
  <c r="CJ70" i="20"/>
  <c r="BJ70" i="20"/>
  <c r="BC70" i="20"/>
  <c r="AW70" i="20"/>
  <c r="AV70" i="20"/>
  <c r="AI70" i="20"/>
  <c r="AH70" i="20"/>
  <c r="G70" i="20"/>
  <c r="CR69" i="20"/>
  <c r="CT69" i="20" s="1"/>
  <c r="CO69" i="20"/>
  <c r="CK69" i="20"/>
  <c r="CJ69" i="20"/>
  <c r="CM69" i="20" s="1"/>
  <c r="BJ69" i="20"/>
  <c r="BC69" i="20"/>
  <c r="AW69" i="20"/>
  <c r="AV69" i="20"/>
  <c r="AP69" i="20"/>
  <c r="AO69" i="20"/>
  <c r="AI69" i="20"/>
  <c r="AH69" i="20"/>
  <c r="AA69" i="20"/>
  <c r="U69" i="20"/>
  <c r="T69" i="20"/>
  <c r="N69" i="20"/>
  <c r="M69" i="20"/>
  <c r="G69" i="20"/>
  <c r="F69" i="20"/>
  <c r="CR68" i="20"/>
  <c r="CT68" i="20" s="1"/>
  <c r="CO68" i="20"/>
  <c r="CJ68" i="20"/>
  <c r="BJ68" i="20"/>
  <c r="BC68" i="20"/>
  <c r="BC71" i="20" s="1"/>
  <c r="AW68" i="20"/>
  <c r="AV68" i="20"/>
  <c r="AP68" i="20"/>
  <c r="AO68" i="20"/>
  <c r="AO71" i="20" s="1"/>
  <c r="AI68" i="20"/>
  <c r="AH68" i="20"/>
  <c r="AA68" i="20"/>
  <c r="U68" i="20"/>
  <c r="T68" i="20"/>
  <c r="T71" i="20" s="1"/>
  <c r="S68" i="20"/>
  <c r="CK68" i="20" s="1"/>
  <c r="CK71" i="20" s="1"/>
  <c r="N68" i="20"/>
  <c r="M68" i="20"/>
  <c r="M71" i="20" s="1"/>
  <c r="G68" i="20"/>
  <c r="F68" i="20"/>
  <c r="F71" i="20" s="1"/>
  <c r="DA67" i="20"/>
  <c r="CY67" i="20"/>
  <c r="CX67" i="20"/>
  <c r="CT67" i="20"/>
  <c r="CH67" i="20"/>
  <c r="CH71" i="20" s="1"/>
  <c r="CA67" i="20"/>
  <c r="CA71" i="20" s="1"/>
  <c r="BY67" i="20"/>
  <c r="BT67" i="20"/>
  <c r="BT71" i="20" s="1"/>
  <c r="BM67" i="20"/>
  <c r="BM71" i="20" s="1"/>
  <c r="BF67" i="20"/>
  <c r="BF71" i="20" s="1"/>
  <c r="BD67" i="20"/>
  <c r="AW67" i="20"/>
  <c r="AP67" i="20"/>
  <c r="AI67" i="20"/>
  <c r="AD67" i="20"/>
  <c r="AD71" i="20" s="1"/>
  <c r="U67" i="20"/>
  <c r="N67" i="20"/>
  <c r="K67" i="20"/>
  <c r="CQ66" i="20"/>
  <c r="CH66" i="20"/>
  <c r="CD66" i="20"/>
  <c r="CF66" i="20" s="1"/>
  <c r="CC66" i="20"/>
  <c r="BW66" i="20"/>
  <c r="BY66" i="20" s="1"/>
  <c r="BV66" i="20"/>
  <c r="BP66" i="20"/>
  <c r="BR66" i="20" s="1"/>
  <c r="BO66" i="20"/>
  <c r="BM66" i="20"/>
  <c r="BI66" i="20"/>
  <c r="BH66" i="20"/>
  <c r="BB66" i="20"/>
  <c r="BD66" i="20" s="1"/>
  <c r="BA66" i="20"/>
  <c r="AY66" i="20"/>
  <c r="AW66" i="20"/>
  <c r="AU66" i="20"/>
  <c r="AU72" i="20" s="1"/>
  <c r="AT66" i="20"/>
  <c r="AT72" i="20" s="1"/>
  <c r="AR66" i="20"/>
  <c r="AN66" i="20"/>
  <c r="AM66" i="20"/>
  <c r="AK66" i="20"/>
  <c r="AG66" i="20"/>
  <c r="AF66" i="20"/>
  <c r="AD66" i="20"/>
  <c r="Z66" i="20"/>
  <c r="AB66" i="20" s="1"/>
  <c r="Y66" i="20"/>
  <c r="W66" i="20"/>
  <c r="W72" i="20" s="1"/>
  <c r="S66" i="20"/>
  <c r="U66" i="20" s="1"/>
  <c r="R66" i="20"/>
  <c r="L66" i="20"/>
  <c r="K66" i="20"/>
  <c r="N66" i="20" s="1"/>
  <c r="I66" i="20"/>
  <c r="E66" i="20"/>
  <c r="G66" i="20" s="1"/>
  <c r="D66" i="20"/>
  <c r="CY65" i="20"/>
  <c r="CZ65" i="20" s="1"/>
  <c r="CX65" i="20"/>
  <c r="CR65" i="20"/>
  <c r="CT65" i="20" s="1"/>
  <c r="CK65" i="20"/>
  <c r="CJ65" i="20"/>
  <c r="CF65" i="20"/>
  <c r="CE65" i="20"/>
  <c r="CA65" i="20"/>
  <c r="CA66" i="20" s="1"/>
  <c r="BY65" i="20"/>
  <c r="BX65" i="20"/>
  <c r="BR65" i="20"/>
  <c r="BQ65" i="20"/>
  <c r="BK65" i="20"/>
  <c r="BJ65" i="20"/>
  <c r="BD65" i="20"/>
  <c r="BC65" i="20"/>
  <c r="AW65" i="20"/>
  <c r="AV65" i="20"/>
  <c r="AP65" i="20"/>
  <c r="AO65" i="20"/>
  <c r="AI65" i="20"/>
  <c r="AH65" i="20"/>
  <c r="AB65" i="20"/>
  <c r="AA65" i="20"/>
  <c r="U65" i="20"/>
  <c r="T65" i="20"/>
  <c r="P65" i="20"/>
  <c r="N65" i="20"/>
  <c r="M65" i="20"/>
  <c r="G65" i="20"/>
  <c r="F65" i="20"/>
  <c r="CY64" i="20"/>
  <c r="CZ64" i="20" s="1"/>
  <c r="CX64" i="20"/>
  <c r="CR64" i="20"/>
  <c r="CK64" i="20"/>
  <c r="CJ64" i="20"/>
  <c r="CF64" i="20"/>
  <c r="CE64" i="20"/>
  <c r="CE66" i="20" s="1"/>
  <c r="BY64" i="20"/>
  <c r="BX64" i="20"/>
  <c r="BX66" i="20" s="1"/>
  <c r="BT64" i="20"/>
  <c r="BT66" i="20" s="1"/>
  <c r="BR64" i="20"/>
  <c r="BQ64" i="20"/>
  <c r="BK64" i="20"/>
  <c r="BJ64" i="20"/>
  <c r="BJ66" i="20" s="1"/>
  <c r="BF64" i="20"/>
  <c r="BF66" i="20" s="1"/>
  <c r="BD64" i="20"/>
  <c r="BC64" i="20"/>
  <c r="AW64" i="20"/>
  <c r="AV64" i="20"/>
  <c r="AV66" i="20" s="1"/>
  <c r="AP64" i="20"/>
  <c r="AO64" i="20"/>
  <c r="AO66" i="20" s="1"/>
  <c r="AI64" i="20"/>
  <c r="AH64" i="20"/>
  <c r="AH66" i="20" s="1"/>
  <c r="AB64" i="20"/>
  <c r="AA64" i="20"/>
  <c r="U64" i="20"/>
  <c r="T64" i="20"/>
  <c r="T66" i="20" s="1"/>
  <c r="N64" i="20"/>
  <c r="M64" i="20"/>
  <c r="G64" i="20"/>
  <c r="F64" i="20"/>
  <c r="F66" i="20" s="1"/>
  <c r="CZ63" i="20"/>
  <c r="DA63" i="20" s="1"/>
  <c r="CY63" i="20"/>
  <c r="CX63" i="20"/>
  <c r="CL63" i="20"/>
  <c r="BT63" i="20"/>
  <c r="BM63" i="20"/>
  <c r="BF63" i="20"/>
  <c r="AY63" i="20"/>
  <c r="AW63" i="20"/>
  <c r="AR63" i="20"/>
  <c r="AP63" i="20"/>
  <c r="AO63" i="20"/>
  <c r="AK63" i="20"/>
  <c r="AD63" i="20"/>
  <c r="W63" i="20"/>
  <c r="U63" i="20"/>
  <c r="T63" i="20"/>
  <c r="L63" i="20"/>
  <c r="K63" i="20"/>
  <c r="I63" i="20"/>
  <c r="F63" i="20"/>
  <c r="E63" i="20"/>
  <c r="D63" i="20"/>
  <c r="CQ62" i="20"/>
  <c r="CH62" i="20"/>
  <c r="CD62" i="20"/>
  <c r="CC62" i="20"/>
  <c r="CC72" i="20" s="1"/>
  <c r="BW62" i="20"/>
  <c r="BY62" i="20" s="1"/>
  <c r="BV62" i="20"/>
  <c r="BP62" i="20"/>
  <c r="BO62" i="20"/>
  <c r="BI62" i="20"/>
  <c r="BH62" i="20"/>
  <c r="BB62" i="20"/>
  <c r="BD62" i="20" s="1"/>
  <c r="BA62" i="20"/>
  <c r="AU62" i="20"/>
  <c r="AW62" i="20" s="1"/>
  <c r="AT62" i="20"/>
  <c r="AN62" i="20"/>
  <c r="AP62" i="20" s="1"/>
  <c r="AM62" i="20"/>
  <c r="AG62" i="20"/>
  <c r="AI62" i="20" s="1"/>
  <c r="AF62" i="20"/>
  <c r="Z62" i="20"/>
  <c r="AB62" i="20" s="1"/>
  <c r="Y62" i="20"/>
  <c r="S62" i="20"/>
  <c r="U62" i="20" s="1"/>
  <c r="R62" i="20"/>
  <c r="L62" i="20"/>
  <c r="K62" i="20"/>
  <c r="N62" i="20" s="1"/>
  <c r="I62" i="20"/>
  <c r="I72" i="20" s="1"/>
  <c r="E62" i="20"/>
  <c r="G62" i="20" s="1"/>
  <c r="D62" i="20"/>
  <c r="CY61" i="20"/>
  <c r="CZ61" i="20" s="1"/>
  <c r="CX61" i="20"/>
  <c r="CR61" i="20"/>
  <c r="CO61" i="20"/>
  <c r="CK61" i="20"/>
  <c r="CM61" i="20" s="1"/>
  <c r="CJ61" i="20"/>
  <c r="CF61" i="20"/>
  <c r="CE61" i="20"/>
  <c r="BY61" i="20"/>
  <c r="BX61" i="20"/>
  <c r="BT61" i="20"/>
  <c r="CV61" i="20" s="1"/>
  <c r="BR61" i="20"/>
  <c r="BQ61" i="20"/>
  <c r="BK61" i="20"/>
  <c r="BJ61" i="20"/>
  <c r="BD61" i="20"/>
  <c r="BC61" i="20"/>
  <c r="AW61" i="20"/>
  <c r="AV61" i="20"/>
  <c r="AP61" i="20"/>
  <c r="AO61" i="20"/>
  <c r="AI61" i="20"/>
  <c r="AH61" i="20"/>
  <c r="AB61" i="20"/>
  <c r="AA61" i="20"/>
  <c r="U61" i="20"/>
  <c r="T61" i="20"/>
  <c r="N61" i="20"/>
  <c r="M61" i="20"/>
  <c r="CL61" i="20" s="1"/>
  <c r="G61" i="20"/>
  <c r="F61" i="20"/>
  <c r="CY60" i="20"/>
  <c r="CZ60" i="20" s="1"/>
  <c r="DA60" i="20" s="1"/>
  <c r="CX60" i="20"/>
  <c r="CV60" i="20"/>
  <c r="CR60" i="20"/>
  <c r="CS60" i="20" s="1"/>
  <c r="CO60" i="20"/>
  <c r="CK60" i="20"/>
  <c r="CM60" i="20" s="1"/>
  <c r="CJ60" i="20"/>
  <c r="CF60" i="20"/>
  <c r="CE60" i="20"/>
  <c r="BY60" i="20"/>
  <c r="BX60" i="20"/>
  <c r="BR60" i="20"/>
  <c r="BQ60" i="20"/>
  <c r="BK60" i="20"/>
  <c r="BJ60" i="20"/>
  <c r="BD60" i="20"/>
  <c r="BC60" i="20"/>
  <c r="AW60" i="20"/>
  <c r="AV60" i="20"/>
  <c r="AP60" i="20"/>
  <c r="AO60" i="20"/>
  <c r="AI60" i="20"/>
  <c r="AH60" i="20"/>
  <c r="AB60" i="20"/>
  <c r="AA60" i="20"/>
  <c r="U60" i="20"/>
  <c r="T60" i="20"/>
  <c r="N60" i="20"/>
  <c r="M60" i="20"/>
  <c r="G60" i="20"/>
  <c r="F60" i="20"/>
  <c r="CY59" i="20"/>
  <c r="CZ59" i="20" s="1"/>
  <c r="DA59" i="20" s="1"/>
  <c r="CX59" i="20"/>
  <c r="CT59" i="20"/>
  <c r="CR59" i="20"/>
  <c r="CS59" i="20" s="1"/>
  <c r="CK59" i="20"/>
  <c r="CJ59" i="20"/>
  <c r="CF59" i="20"/>
  <c r="CE59" i="20"/>
  <c r="BY59" i="20"/>
  <c r="BX59" i="20"/>
  <c r="BR59" i="20"/>
  <c r="BQ59" i="20"/>
  <c r="BK59" i="20"/>
  <c r="BJ59" i="20"/>
  <c r="BD59" i="20"/>
  <c r="BC59" i="20"/>
  <c r="AY59" i="20"/>
  <c r="CV59" i="20" s="1"/>
  <c r="AW59" i="20"/>
  <c r="AV59" i="20"/>
  <c r="AP59" i="20"/>
  <c r="AO59" i="20"/>
  <c r="AI59" i="20"/>
  <c r="AH59" i="20"/>
  <c r="AD59" i="20"/>
  <c r="CO59" i="20" s="1"/>
  <c r="AB59" i="20"/>
  <c r="AA59" i="20"/>
  <c r="U59" i="20"/>
  <c r="T59" i="20"/>
  <c r="N59" i="20"/>
  <c r="M59" i="20"/>
  <c r="G59" i="20"/>
  <c r="F59" i="20"/>
  <c r="CY58" i="20"/>
  <c r="CZ58" i="20" s="1"/>
  <c r="DA58" i="20" s="1"/>
  <c r="CX58" i="20"/>
  <c r="CR58" i="20"/>
  <c r="CT58" i="20" s="1"/>
  <c r="CK58" i="20"/>
  <c r="CM58" i="20" s="1"/>
  <c r="CJ58" i="20"/>
  <c r="CF58" i="20"/>
  <c r="CE58" i="20"/>
  <c r="BY58" i="20"/>
  <c r="BX58" i="20"/>
  <c r="BR58" i="20"/>
  <c r="BQ58" i="20"/>
  <c r="BK58" i="20"/>
  <c r="BJ58" i="20"/>
  <c r="BD58" i="20"/>
  <c r="BC58" i="20"/>
  <c r="AY58" i="20"/>
  <c r="AW58" i="20"/>
  <c r="AV58" i="20"/>
  <c r="AR58" i="20"/>
  <c r="AP58" i="20"/>
  <c r="AO58" i="20"/>
  <c r="AK58" i="20"/>
  <c r="CV58" i="20" s="1"/>
  <c r="AI58" i="20"/>
  <c r="AH58" i="20"/>
  <c r="AD58" i="20"/>
  <c r="AB58" i="20"/>
  <c r="AA58" i="20"/>
  <c r="W58" i="20"/>
  <c r="W62" i="20" s="1"/>
  <c r="U58" i="20"/>
  <c r="T58" i="20"/>
  <c r="N58" i="20"/>
  <c r="M58" i="20"/>
  <c r="G58" i="20"/>
  <c r="F58" i="20"/>
  <c r="CY57" i="20"/>
  <c r="CZ57" i="20" s="1"/>
  <c r="CX57" i="20"/>
  <c r="CR57" i="20"/>
  <c r="CT57" i="20" s="1"/>
  <c r="CK57" i="20"/>
  <c r="CJ57" i="20"/>
  <c r="CF57" i="20"/>
  <c r="CE57" i="20"/>
  <c r="BY57" i="20"/>
  <c r="BX57" i="20"/>
  <c r="BR57" i="20"/>
  <c r="BQ57" i="20"/>
  <c r="BM57" i="20"/>
  <c r="BM62" i="20" s="1"/>
  <c r="BK57" i="20"/>
  <c r="BJ57" i="20"/>
  <c r="BD57" i="20"/>
  <c r="BC57" i="20"/>
  <c r="AY57" i="20"/>
  <c r="AW57" i="20"/>
  <c r="AV57" i="20"/>
  <c r="AP57" i="20"/>
  <c r="AO57" i="20"/>
  <c r="AI57" i="20"/>
  <c r="AH57" i="20"/>
  <c r="AD57" i="20"/>
  <c r="AB57" i="20"/>
  <c r="AA57" i="20"/>
  <c r="U57" i="20"/>
  <c r="T57" i="20"/>
  <c r="P57" i="20"/>
  <c r="N57" i="20"/>
  <c r="M57" i="20"/>
  <c r="G57" i="20"/>
  <c r="F57" i="20"/>
  <c r="CY56" i="20"/>
  <c r="CZ56" i="20" s="1"/>
  <c r="DA56" i="20" s="1"/>
  <c r="CX56" i="20"/>
  <c r="CT56" i="20"/>
  <c r="CR56" i="20"/>
  <c r="CS56" i="20" s="1"/>
  <c r="CM56" i="20"/>
  <c r="CK56" i="20"/>
  <c r="CJ56" i="20"/>
  <c r="CF56" i="20"/>
  <c r="CE56" i="20"/>
  <c r="BY56" i="20"/>
  <c r="BX56" i="20"/>
  <c r="BR56" i="20"/>
  <c r="BQ56" i="20"/>
  <c r="BK56" i="20"/>
  <c r="BJ56" i="20"/>
  <c r="BD56" i="20"/>
  <c r="BC56" i="20"/>
  <c r="AY56" i="20"/>
  <c r="AW56" i="20"/>
  <c r="AV56" i="20"/>
  <c r="AP56" i="20"/>
  <c r="AO56" i="20"/>
  <c r="AI56" i="20"/>
  <c r="AH56" i="20"/>
  <c r="AD56" i="20"/>
  <c r="AB56" i="20"/>
  <c r="AA56" i="20"/>
  <c r="U56" i="20"/>
  <c r="T56" i="20"/>
  <c r="P56" i="20"/>
  <c r="N56" i="20"/>
  <c r="M56" i="20"/>
  <c r="G56" i="20"/>
  <c r="F56" i="20"/>
  <c r="CY55" i="20"/>
  <c r="CZ55" i="20" s="1"/>
  <c r="CX55" i="20"/>
  <c r="CR55" i="20"/>
  <c r="CT55" i="20" s="1"/>
  <c r="CO55" i="20"/>
  <c r="CM55" i="20"/>
  <c r="CK55" i="20"/>
  <c r="CJ55" i="20"/>
  <c r="CF55" i="20"/>
  <c r="CE55" i="20"/>
  <c r="BY55" i="20"/>
  <c r="BX55" i="20"/>
  <c r="BR55" i="20"/>
  <c r="BQ55" i="20"/>
  <c r="BK55" i="20"/>
  <c r="BJ55" i="20"/>
  <c r="BD55" i="20"/>
  <c r="BC55" i="20"/>
  <c r="AY55" i="20"/>
  <c r="AW55" i="20"/>
  <c r="AV55" i="20"/>
  <c r="AP55" i="20"/>
  <c r="AO55" i="20"/>
  <c r="AK55" i="20"/>
  <c r="AI55" i="20"/>
  <c r="AH55" i="20"/>
  <c r="AD55" i="20"/>
  <c r="AB55" i="20"/>
  <c r="AA55" i="20"/>
  <c r="U55" i="20"/>
  <c r="T55" i="20"/>
  <c r="P55" i="20"/>
  <c r="N55" i="20"/>
  <c r="M55" i="20"/>
  <c r="G55" i="20"/>
  <c r="F55" i="20"/>
  <c r="DA54" i="20"/>
  <c r="CY54" i="20"/>
  <c r="CZ54" i="20" s="1"/>
  <c r="CX54" i="20"/>
  <c r="CR54" i="20"/>
  <c r="CS54" i="20" s="1"/>
  <c r="CK54" i="20"/>
  <c r="CJ54" i="20"/>
  <c r="CF54" i="20"/>
  <c r="CE54" i="20"/>
  <c r="BY54" i="20"/>
  <c r="BX54" i="20"/>
  <c r="BT54" i="20"/>
  <c r="BR54" i="20"/>
  <c r="BQ54" i="20"/>
  <c r="BK54" i="20"/>
  <c r="BJ54" i="20"/>
  <c r="BD54" i="20"/>
  <c r="BC54" i="20"/>
  <c r="AY54" i="20"/>
  <c r="AW54" i="20"/>
  <c r="AV54" i="20"/>
  <c r="AR54" i="20"/>
  <c r="AR62" i="20" s="1"/>
  <c r="AP54" i="20"/>
  <c r="AO54" i="20"/>
  <c r="AI54" i="20"/>
  <c r="AH54" i="20"/>
  <c r="AD54" i="20"/>
  <c r="CO54" i="20" s="1"/>
  <c r="AB54" i="20"/>
  <c r="AA54" i="20"/>
  <c r="U54" i="20"/>
  <c r="T54" i="20"/>
  <c r="P54" i="20"/>
  <c r="N54" i="20"/>
  <c r="M54" i="20"/>
  <c r="G54" i="20"/>
  <c r="F54" i="20"/>
  <c r="CY53" i="20"/>
  <c r="CZ53" i="20" s="1"/>
  <c r="CX53" i="20"/>
  <c r="CR53" i="20"/>
  <c r="CT53" i="20" s="1"/>
  <c r="CK53" i="20"/>
  <c r="CJ53" i="20"/>
  <c r="CF53" i="20"/>
  <c r="CE53" i="20"/>
  <c r="CA53" i="20"/>
  <c r="BY53" i="20"/>
  <c r="BX53" i="20"/>
  <c r="BT53" i="20"/>
  <c r="BT51" i="20" s="1"/>
  <c r="BR53" i="20"/>
  <c r="BQ53" i="20"/>
  <c r="BK53" i="20"/>
  <c r="BJ53" i="20"/>
  <c r="BF53" i="20"/>
  <c r="BF62" i="20" s="1"/>
  <c r="BF72" i="20" s="1"/>
  <c r="BD53" i="20"/>
  <c r="BC53" i="20"/>
  <c r="AY53" i="20"/>
  <c r="AW53" i="20"/>
  <c r="AV53" i="20"/>
  <c r="AP53" i="20"/>
  <c r="AO53" i="20"/>
  <c r="AK53" i="20"/>
  <c r="AK51" i="20" s="1"/>
  <c r="AI53" i="20"/>
  <c r="AH53" i="20"/>
  <c r="AD53" i="20"/>
  <c r="AB53" i="20"/>
  <c r="AA53" i="20"/>
  <c r="U53" i="20"/>
  <c r="T53" i="20"/>
  <c r="P53" i="20"/>
  <c r="N53" i="20"/>
  <c r="M53" i="20"/>
  <c r="G53" i="20"/>
  <c r="F53" i="20"/>
  <c r="CY52" i="20"/>
  <c r="CZ52" i="20" s="1"/>
  <c r="DA52" i="20" s="1"/>
  <c r="CX52" i="20"/>
  <c r="CS52" i="20"/>
  <c r="CR52" i="20"/>
  <c r="CK52" i="20"/>
  <c r="CJ52" i="20"/>
  <c r="CF52" i="20"/>
  <c r="CE52" i="20"/>
  <c r="CE62" i="20" s="1"/>
  <c r="CA52" i="20"/>
  <c r="BY52" i="20"/>
  <c r="BX52" i="20"/>
  <c r="BT52" i="20"/>
  <c r="BR52" i="20"/>
  <c r="BQ52" i="20"/>
  <c r="BQ62" i="20" s="1"/>
  <c r="BK52" i="20"/>
  <c r="BJ52" i="20"/>
  <c r="BJ62" i="20" s="1"/>
  <c r="BD52" i="20"/>
  <c r="BC52" i="20"/>
  <c r="BC62" i="20" s="1"/>
  <c r="AY52" i="20"/>
  <c r="AW52" i="20"/>
  <c r="AV52" i="20"/>
  <c r="AP52" i="20"/>
  <c r="AO52" i="20"/>
  <c r="AI52" i="20"/>
  <c r="AH52" i="20"/>
  <c r="AD52" i="20"/>
  <c r="AB52" i="20"/>
  <c r="AA52" i="20"/>
  <c r="U52" i="20"/>
  <c r="T52" i="20"/>
  <c r="P52" i="20"/>
  <c r="CO52" i="20" s="1"/>
  <c r="N52" i="20"/>
  <c r="M52" i="20"/>
  <c r="G52" i="20"/>
  <c r="F52" i="20"/>
  <c r="CD51" i="20"/>
  <c r="CC51" i="20"/>
  <c r="CX51" i="20" s="1"/>
  <c r="BM51" i="20"/>
  <c r="BF51" i="20"/>
  <c r="AR51" i="20"/>
  <c r="W51" i="20"/>
  <c r="L51" i="20"/>
  <c r="K51" i="20"/>
  <c r="I51" i="20"/>
  <c r="E51" i="20"/>
  <c r="D51" i="20"/>
  <c r="CQ49" i="20"/>
  <c r="CD49" i="20"/>
  <c r="CC49" i="20"/>
  <c r="BY49" i="20"/>
  <c r="BW49" i="20"/>
  <c r="BV49" i="20"/>
  <c r="BP49" i="20"/>
  <c r="BR49" i="20" s="1"/>
  <c r="BO49" i="20"/>
  <c r="BM49" i="20"/>
  <c r="BI49" i="20"/>
  <c r="BK49" i="20" s="1"/>
  <c r="BH49" i="20"/>
  <c r="BB49" i="20"/>
  <c r="BD49" i="20" s="1"/>
  <c r="BA49" i="20"/>
  <c r="AW49" i="20"/>
  <c r="AU49" i="20"/>
  <c r="AT49" i="20"/>
  <c r="AN49" i="20"/>
  <c r="AP49" i="20" s="1"/>
  <c r="AM49" i="20"/>
  <c r="AK49" i="20"/>
  <c r="AG49" i="20"/>
  <c r="AF49" i="20"/>
  <c r="Z49" i="20"/>
  <c r="Y49" i="20"/>
  <c r="S49" i="20"/>
  <c r="R49" i="20"/>
  <c r="L49" i="20"/>
  <c r="K49" i="20"/>
  <c r="I49" i="20"/>
  <c r="E49" i="20"/>
  <c r="G49" i="20" s="1"/>
  <c r="D49" i="20"/>
  <c r="CY48" i="20"/>
  <c r="CZ48" i="20" s="1"/>
  <c r="CX48" i="20"/>
  <c r="CR48" i="20"/>
  <c r="CK48" i="20"/>
  <c r="CM48" i="20" s="1"/>
  <c r="CJ48" i="20"/>
  <c r="CH48" i="20"/>
  <c r="CH49" i="20" s="1"/>
  <c r="CF48" i="20"/>
  <c r="CE48" i="20"/>
  <c r="CE49" i="20" s="1"/>
  <c r="CA48" i="20"/>
  <c r="CA49" i="20" s="1"/>
  <c r="BY48" i="20"/>
  <c r="BX48" i="20"/>
  <c r="BX49" i="20" s="1"/>
  <c r="BT48" i="20"/>
  <c r="BT49" i="20" s="1"/>
  <c r="BR48" i="20"/>
  <c r="BQ48" i="20"/>
  <c r="BQ49" i="20" s="1"/>
  <c r="BM48" i="20"/>
  <c r="BK48" i="20"/>
  <c r="BJ48" i="20"/>
  <c r="BJ49" i="20" s="1"/>
  <c r="BF48" i="20"/>
  <c r="BF49" i="20" s="1"/>
  <c r="BD48" i="20"/>
  <c r="BC48" i="20"/>
  <c r="BC49" i="20" s="1"/>
  <c r="AY48" i="20"/>
  <c r="AY49" i="20" s="1"/>
  <c r="AW48" i="20"/>
  <c r="AV48" i="20"/>
  <c r="AV49" i="20" s="1"/>
  <c r="AR48" i="20"/>
  <c r="AR49" i="20" s="1"/>
  <c r="AP48" i="20"/>
  <c r="AO48" i="20"/>
  <c r="AO49" i="20" s="1"/>
  <c r="AK48" i="20"/>
  <c r="AI48" i="20"/>
  <c r="AH48" i="20"/>
  <c r="AH49" i="20" s="1"/>
  <c r="AD48" i="20"/>
  <c r="AD49" i="20" s="1"/>
  <c r="AB48" i="20"/>
  <c r="AA48" i="20"/>
  <c r="AA49" i="20" s="1"/>
  <c r="W48" i="20"/>
  <c r="W49" i="20" s="1"/>
  <c r="U48" i="20"/>
  <c r="T48" i="20"/>
  <c r="T49" i="20" s="1"/>
  <c r="P48" i="20"/>
  <c r="N48" i="20"/>
  <c r="M48" i="20"/>
  <c r="M49" i="20" s="1"/>
  <c r="G48" i="20"/>
  <c r="F48" i="20"/>
  <c r="F49" i="20" s="1"/>
  <c r="CQ47" i="20"/>
  <c r="CD47" i="20"/>
  <c r="CC47" i="20"/>
  <c r="BW47" i="20"/>
  <c r="BY47" i="20" s="1"/>
  <c r="BV47" i="20"/>
  <c r="BP47" i="20"/>
  <c r="BO47" i="20"/>
  <c r="BI47" i="20"/>
  <c r="BH47" i="20"/>
  <c r="BB47" i="20"/>
  <c r="BA47" i="20"/>
  <c r="AY47" i="20"/>
  <c r="AU47" i="20"/>
  <c r="AT47" i="20"/>
  <c r="AN47" i="20"/>
  <c r="AM47" i="20"/>
  <c r="AI47" i="20"/>
  <c r="AH47" i="20"/>
  <c r="AG47" i="20"/>
  <c r="AF47" i="20"/>
  <c r="Z47" i="20"/>
  <c r="AB47" i="20" s="1"/>
  <c r="Y47" i="20"/>
  <c r="U47" i="20"/>
  <c r="S47" i="20"/>
  <c r="R47" i="20"/>
  <c r="L47" i="20"/>
  <c r="K47" i="20"/>
  <c r="N47" i="20" s="1"/>
  <c r="G47" i="20"/>
  <c r="F47" i="20"/>
  <c r="E47" i="20"/>
  <c r="D47" i="20"/>
  <c r="CZ46" i="20"/>
  <c r="CY46" i="20"/>
  <c r="CX46" i="20"/>
  <c r="CR46" i="20"/>
  <c r="CS46" i="20" s="1"/>
  <c r="CS47" i="20" s="1"/>
  <c r="CK46" i="20"/>
  <c r="CJ46" i="20"/>
  <c r="CM46" i="20" s="1"/>
  <c r="CH46" i="20"/>
  <c r="CH47" i="20" s="1"/>
  <c r="CF46" i="20"/>
  <c r="CE46" i="20"/>
  <c r="CE47" i="20" s="1"/>
  <c r="CA46" i="20"/>
  <c r="CA47" i="20" s="1"/>
  <c r="BY46" i="20"/>
  <c r="BX46" i="20"/>
  <c r="BX47" i="20" s="1"/>
  <c r="BT46" i="20"/>
  <c r="BT47" i="20" s="1"/>
  <c r="BR46" i="20"/>
  <c r="BQ46" i="20"/>
  <c r="BQ47" i="20" s="1"/>
  <c r="BM46" i="20"/>
  <c r="BM47" i="20" s="1"/>
  <c r="BK46" i="20"/>
  <c r="BJ46" i="20"/>
  <c r="BJ47" i="20" s="1"/>
  <c r="BF46" i="20"/>
  <c r="BF47" i="20" s="1"/>
  <c r="BD46" i="20"/>
  <c r="BC46" i="20"/>
  <c r="BC47" i="20" s="1"/>
  <c r="AY46" i="20"/>
  <c r="AW46" i="20"/>
  <c r="AV46" i="20"/>
  <c r="AV47" i="20" s="1"/>
  <c r="AR46" i="20"/>
  <c r="AR47" i="20" s="1"/>
  <c r="AP46" i="20"/>
  <c r="AO46" i="20"/>
  <c r="AO47" i="20" s="1"/>
  <c r="AK46" i="20"/>
  <c r="AK47" i="20" s="1"/>
  <c r="AI46" i="20"/>
  <c r="AH46" i="20"/>
  <c r="AD46" i="20"/>
  <c r="AD47" i="20" s="1"/>
  <c r="AB46" i="20"/>
  <c r="AA46" i="20"/>
  <c r="AA47" i="20" s="1"/>
  <c r="W46" i="20"/>
  <c r="CV46" i="20" s="1"/>
  <c r="CV47" i="20" s="1"/>
  <c r="U46" i="20"/>
  <c r="T46" i="20"/>
  <c r="T47" i="20" s="1"/>
  <c r="P46" i="20"/>
  <c r="P47" i="20" s="1"/>
  <c r="N46" i="20"/>
  <c r="M46" i="20"/>
  <c r="M47" i="20" s="1"/>
  <c r="I46" i="20"/>
  <c r="I47" i="20" s="1"/>
  <c r="G46" i="20"/>
  <c r="F46" i="20"/>
  <c r="CZ44" i="20"/>
  <c r="CY44" i="20"/>
  <c r="CX44" i="20"/>
  <c r="CR44" i="20"/>
  <c r="CS44" i="20" s="1"/>
  <c r="CK44" i="20"/>
  <c r="CM44" i="20" s="1"/>
  <c r="CJ44" i="20"/>
  <c r="CH44" i="20"/>
  <c r="CH43" i="20" s="1"/>
  <c r="CF44" i="20"/>
  <c r="CE44" i="20"/>
  <c r="CA44" i="20"/>
  <c r="CA43" i="20" s="1"/>
  <c r="BY44" i="20"/>
  <c r="BX44" i="20"/>
  <c r="BT44" i="20"/>
  <c r="BT43" i="20" s="1"/>
  <c r="BR44" i="20"/>
  <c r="BQ44" i="20"/>
  <c r="BM44" i="20"/>
  <c r="BK44" i="20"/>
  <c r="BJ44" i="20"/>
  <c r="BD44" i="20"/>
  <c r="BC44" i="20"/>
  <c r="AW44" i="20"/>
  <c r="AV44" i="20"/>
  <c r="AR44" i="20"/>
  <c r="AR43" i="20" s="1"/>
  <c r="AP44" i="20"/>
  <c r="AO44" i="20"/>
  <c r="AK44" i="20"/>
  <c r="AK43" i="20" s="1"/>
  <c r="AI44" i="20"/>
  <c r="AH44" i="20"/>
  <c r="AD44" i="20"/>
  <c r="AB44" i="20"/>
  <c r="AA44" i="20"/>
  <c r="W44" i="20"/>
  <c r="U44" i="20"/>
  <c r="T44" i="20"/>
  <c r="N44" i="20"/>
  <c r="M44" i="20"/>
  <c r="G44" i="20"/>
  <c r="F44" i="20"/>
  <c r="CD43" i="20"/>
  <c r="CC43" i="20"/>
  <c r="CX43" i="20" s="1"/>
  <c r="BY43" i="20"/>
  <c r="BX43" i="20"/>
  <c r="BW43" i="20"/>
  <c r="BV43" i="20"/>
  <c r="BR43" i="20"/>
  <c r="BP43" i="20"/>
  <c r="BQ43" i="20" s="1"/>
  <c r="BO43" i="20"/>
  <c r="BM43" i="20"/>
  <c r="BI43" i="20"/>
  <c r="BH43" i="20"/>
  <c r="BF43" i="20"/>
  <c r="BB43" i="20"/>
  <c r="BA43" i="20"/>
  <c r="AY43" i="20"/>
  <c r="AU43" i="20"/>
  <c r="AW43" i="20" s="1"/>
  <c r="AT43" i="20"/>
  <c r="AV43" i="20" s="1"/>
  <c r="AN43" i="20"/>
  <c r="AO43" i="20" s="1"/>
  <c r="AM43" i="20"/>
  <c r="AG43" i="20"/>
  <c r="AF43" i="20"/>
  <c r="Z43" i="20"/>
  <c r="Y43" i="20"/>
  <c r="W43" i="20"/>
  <c r="S43" i="20"/>
  <c r="R43" i="20"/>
  <c r="U43" i="20" s="1"/>
  <c r="P43" i="20"/>
  <c r="N43" i="20"/>
  <c r="L43" i="20"/>
  <c r="K43" i="20"/>
  <c r="I43" i="20"/>
  <c r="E43" i="20"/>
  <c r="D43" i="20"/>
  <c r="CY42" i="20"/>
  <c r="CZ42" i="20" s="1"/>
  <c r="DA42" i="20" s="1"/>
  <c r="CX42" i="20"/>
  <c r="CR42" i="20"/>
  <c r="CK42" i="20"/>
  <c r="CJ42" i="20"/>
  <c r="CF42" i="20"/>
  <c r="CE42" i="20"/>
  <c r="CA42" i="20"/>
  <c r="CA41" i="20" s="1"/>
  <c r="BY42" i="20"/>
  <c r="BX42" i="20"/>
  <c r="BT42" i="20"/>
  <c r="BT41" i="20" s="1"/>
  <c r="BR42" i="20"/>
  <c r="BQ42" i="20"/>
  <c r="BK42" i="20"/>
  <c r="BJ42" i="20"/>
  <c r="BD42" i="20"/>
  <c r="BC42" i="20"/>
  <c r="AW42" i="20"/>
  <c r="AV42" i="20"/>
  <c r="AP42" i="20"/>
  <c r="AO42" i="20"/>
  <c r="AI42" i="20"/>
  <c r="AH42" i="20"/>
  <c r="AD42" i="20"/>
  <c r="AB42" i="20"/>
  <c r="AA42" i="20"/>
  <c r="U42" i="20"/>
  <c r="T42" i="20"/>
  <c r="N42" i="20"/>
  <c r="M42" i="20"/>
  <c r="G42" i="20"/>
  <c r="F42" i="20"/>
  <c r="CH41" i="20"/>
  <c r="CF41" i="20"/>
  <c r="CD41" i="20"/>
  <c r="CE41" i="20" s="1"/>
  <c r="CC41" i="20"/>
  <c r="BW41" i="20"/>
  <c r="BV41" i="20"/>
  <c r="BP41" i="20"/>
  <c r="BO41" i="20"/>
  <c r="CY41" i="20" s="1"/>
  <c r="CZ41" i="20" s="1"/>
  <c r="BM41" i="20"/>
  <c r="BI41" i="20"/>
  <c r="BH41" i="20"/>
  <c r="BB41" i="20"/>
  <c r="BA41" i="20"/>
  <c r="AY41" i="20"/>
  <c r="AW41" i="20"/>
  <c r="AV41" i="20"/>
  <c r="AU41" i="20"/>
  <c r="AT41" i="20"/>
  <c r="AR41" i="20"/>
  <c r="AN41" i="20"/>
  <c r="AM41" i="20"/>
  <c r="AP41" i="20" s="1"/>
  <c r="AK41" i="20"/>
  <c r="AG41" i="20"/>
  <c r="AF41" i="20"/>
  <c r="Z41" i="20"/>
  <c r="Y41" i="20"/>
  <c r="W41" i="20"/>
  <c r="S41" i="20"/>
  <c r="U41" i="20" s="1"/>
  <c r="R41" i="20"/>
  <c r="T41" i="20" s="1"/>
  <c r="P41" i="20"/>
  <c r="L41" i="20"/>
  <c r="M41" i="20" s="1"/>
  <c r="K41" i="20"/>
  <c r="I41" i="20"/>
  <c r="E41" i="20"/>
  <c r="D41" i="20"/>
  <c r="CY40" i="20"/>
  <c r="CZ40" i="20" s="1"/>
  <c r="CX40" i="20"/>
  <c r="CR40" i="20"/>
  <c r="CK40" i="20"/>
  <c r="CM40" i="20" s="1"/>
  <c r="CJ40" i="20"/>
  <c r="CF40" i="20"/>
  <c r="CE40" i="20"/>
  <c r="CE39" i="20" s="1"/>
  <c r="CA40" i="20"/>
  <c r="CA39" i="20" s="1"/>
  <c r="BY40" i="20"/>
  <c r="BX40" i="20"/>
  <c r="BT40" i="20"/>
  <c r="BT39" i="20" s="1"/>
  <c r="BR40" i="20"/>
  <c r="BQ40" i="20"/>
  <c r="BM40" i="20"/>
  <c r="BK40" i="20"/>
  <c r="BJ40" i="20"/>
  <c r="BJ39" i="20" s="1"/>
  <c r="BD40" i="20"/>
  <c r="BC40" i="20"/>
  <c r="AW40" i="20"/>
  <c r="AV40" i="20"/>
  <c r="AP40" i="20"/>
  <c r="AO40" i="20"/>
  <c r="AI40" i="20"/>
  <c r="AH40" i="20"/>
  <c r="AH39" i="20" s="1"/>
  <c r="AB40" i="20"/>
  <c r="AA40" i="20"/>
  <c r="U40" i="20"/>
  <c r="T40" i="20"/>
  <c r="P40" i="20"/>
  <c r="CO40" i="20" s="1"/>
  <c r="N40" i="20"/>
  <c r="M40" i="20"/>
  <c r="G40" i="20"/>
  <c r="F40" i="20"/>
  <c r="F39" i="20" s="1"/>
  <c r="CQ39" i="20"/>
  <c r="CH39" i="20"/>
  <c r="CD39" i="20"/>
  <c r="CC39" i="20"/>
  <c r="BX39" i="20"/>
  <c r="BW39" i="20"/>
  <c r="BY39" i="20" s="1"/>
  <c r="BV39" i="20"/>
  <c r="BQ39" i="20"/>
  <c r="BP39" i="20"/>
  <c r="BR39" i="20" s="1"/>
  <c r="BO39" i="20"/>
  <c r="CX39" i="20" s="1"/>
  <c r="BM39" i="20"/>
  <c r="BI39" i="20"/>
  <c r="BK39" i="20" s="1"/>
  <c r="BH39" i="20"/>
  <c r="BF39" i="20"/>
  <c r="BC39" i="20"/>
  <c r="BB39" i="20"/>
  <c r="BA39" i="20"/>
  <c r="AY39" i="20"/>
  <c r="AV39" i="20"/>
  <c r="AU39" i="20"/>
  <c r="AT39" i="20"/>
  <c r="AR39" i="20"/>
  <c r="AO39" i="20"/>
  <c r="AN39" i="20"/>
  <c r="AP39" i="20" s="1"/>
  <c r="AM39" i="20"/>
  <c r="AK39" i="20"/>
  <c r="AG39" i="20"/>
  <c r="AF39" i="20"/>
  <c r="AD39" i="20"/>
  <c r="AA39" i="20"/>
  <c r="Z39" i="20"/>
  <c r="Y39" i="20"/>
  <c r="W39" i="20"/>
  <c r="T39" i="20"/>
  <c r="S39" i="20"/>
  <c r="R39" i="20"/>
  <c r="M39" i="20"/>
  <c r="L39" i="20"/>
  <c r="CK39" i="20" s="1"/>
  <c r="K39" i="20"/>
  <c r="I39" i="20"/>
  <c r="G39" i="20"/>
  <c r="E39" i="20"/>
  <c r="D39" i="20"/>
  <c r="CJ39" i="20" s="1"/>
  <c r="CY38" i="20"/>
  <c r="CZ38" i="20" s="1"/>
  <c r="DA38" i="20" s="1"/>
  <c r="CX38" i="20"/>
  <c r="CR38" i="20"/>
  <c r="CK38" i="20"/>
  <c r="CJ38" i="20"/>
  <c r="CH38" i="20"/>
  <c r="CF38" i="20"/>
  <c r="CE38" i="20"/>
  <c r="CA38" i="20"/>
  <c r="BY38" i="20"/>
  <c r="BX38" i="20"/>
  <c r="BT38" i="20"/>
  <c r="BR38" i="20"/>
  <c r="BQ38" i="20"/>
  <c r="BM38" i="20"/>
  <c r="BK38" i="20"/>
  <c r="BJ38" i="20"/>
  <c r="BF38" i="20"/>
  <c r="BD38" i="20"/>
  <c r="BC38" i="20"/>
  <c r="AY38" i="20"/>
  <c r="AW38" i="20"/>
  <c r="AV38" i="20"/>
  <c r="AR38" i="20"/>
  <c r="AP38" i="20"/>
  <c r="AO38" i="20"/>
  <c r="AK38" i="20"/>
  <c r="AI38" i="20"/>
  <c r="AH38" i="20"/>
  <c r="AD38" i="20"/>
  <c r="AB38" i="20"/>
  <c r="AA38" i="20"/>
  <c r="W38" i="20"/>
  <c r="U38" i="20"/>
  <c r="T38" i="20"/>
  <c r="P38" i="20"/>
  <c r="CV38" i="20" s="1"/>
  <c r="N38" i="20"/>
  <c r="M38" i="20"/>
  <c r="G38" i="20"/>
  <c r="F38" i="20"/>
  <c r="CY37" i="20"/>
  <c r="CZ37" i="20" s="1"/>
  <c r="DA37" i="20" s="1"/>
  <c r="CX37" i="20"/>
  <c r="CV37" i="20"/>
  <c r="CR37" i="20"/>
  <c r="CO37" i="20"/>
  <c r="CK37" i="20"/>
  <c r="CJ37" i="20"/>
  <c r="CF37" i="20"/>
  <c r="CE37" i="20"/>
  <c r="BY37" i="20"/>
  <c r="BX37" i="20"/>
  <c r="BR37" i="20"/>
  <c r="BQ37" i="20"/>
  <c r="BK37" i="20"/>
  <c r="BJ37" i="20"/>
  <c r="BD37" i="20"/>
  <c r="BC37" i="20"/>
  <c r="AW37" i="20"/>
  <c r="AV37" i="20"/>
  <c r="AP37" i="20"/>
  <c r="AO37" i="20"/>
  <c r="AI37" i="20"/>
  <c r="AH37" i="20"/>
  <c r="AB37" i="20"/>
  <c r="AA37" i="20"/>
  <c r="U37" i="20"/>
  <c r="T37" i="20"/>
  <c r="N37" i="20"/>
  <c r="M37" i="20"/>
  <c r="G37" i="20"/>
  <c r="F37" i="20"/>
  <c r="CL37" i="20" s="1"/>
  <c r="CY36" i="20"/>
  <c r="CZ36" i="20" s="1"/>
  <c r="CX36" i="20"/>
  <c r="CR36" i="20"/>
  <c r="CT36" i="20" s="1"/>
  <c r="CK36" i="20"/>
  <c r="CJ36" i="20"/>
  <c r="CF36" i="20"/>
  <c r="CE36" i="20"/>
  <c r="CA36" i="20"/>
  <c r="BY36" i="20"/>
  <c r="BX36" i="20"/>
  <c r="BT36" i="20"/>
  <c r="BR36" i="20"/>
  <c r="BQ36" i="20"/>
  <c r="BK36" i="20"/>
  <c r="BJ36" i="20"/>
  <c r="BD36" i="20"/>
  <c r="BC36" i="20"/>
  <c r="AY36" i="20"/>
  <c r="AW36" i="20"/>
  <c r="AV36" i="20"/>
  <c r="AP36" i="20"/>
  <c r="AO36" i="20"/>
  <c r="AK36" i="20"/>
  <c r="AI36" i="20"/>
  <c r="AH36" i="20"/>
  <c r="AD36" i="20"/>
  <c r="AB36" i="20"/>
  <c r="AA36" i="20"/>
  <c r="U36" i="20"/>
  <c r="T36" i="20"/>
  <c r="P36" i="20"/>
  <c r="CO36" i="20" s="1"/>
  <c r="N36" i="20"/>
  <c r="M36" i="20"/>
  <c r="G36" i="20"/>
  <c r="F36" i="20"/>
  <c r="CY35" i="20"/>
  <c r="CZ35" i="20" s="1"/>
  <c r="DA35" i="20" s="1"/>
  <c r="CX35" i="20"/>
  <c r="CV35" i="20"/>
  <c r="CR35" i="20"/>
  <c r="CS35" i="20" s="1"/>
  <c r="CO35" i="20"/>
  <c r="CK35" i="20"/>
  <c r="CM35" i="20" s="1"/>
  <c r="CJ35" i="20"/>
  <c r="CF35" i="20"/>
  <c r="CE35" i="20"/>
  <c r="BY35" i="20"/>
  <c r="BX35" i="20"/>
  <c r="BR35" i="20"/>
  <c r="BQ35" i="20"/>
  <c r="BK35" i="20"/>
  <c r="BJ35" i="20"/>
  <c r="BD35" i="20"/>
  <c r="BC35" i="20"/>
  <c r="AW35" i="20"/>
  <c r="AV35" i="20"/>
  <c r="AP35" i="20"/>
  <c r="AO35" i="20"/>
  <c r="AI35" i="20"/>
  <c r="AH35" i="20"/>
  <c r="AB35" i="20"/>
  <c r="AA35" i="20"/>
  <c r="U35" i="20"/>
  <c r="T35" i="20"/>
  <c r="N35" i="20"/>
  <c r="M35" i="20"/>
  <c r="G35" i="20"/>
  <c r="F35" i="20"/>
  <c r="CY34" i="20"/>
  <c r="CZ34" i="20" s="1"/>
  <c r="CX34" i="20"/>
  <c r="CR34" i="20"/>
  <c r="CK34" i="20"/>
  <c r="CJ34" i="20"/>
  <c r="CH34" i="20"/>
  <c r="CF34" i="20"/>
  <c r="CE34" i="20"/>
  <c r="CA34" i="20"/>
  <c r="BY34" i="20"/>
  <c r="BX34" i="20"/>
  <c r="BT34" i="20"/>
  <c r="BR34" i="20"/>
  <c r="BQ34" i="20"/>
  <c r="BM34" i="20"/>
  <c r="BK34" i="20"/>
  <c r="BJ34" i="20"/>
  <c r="BF34" i="20"/>
  <c r="BD34" i="20"/>
  <c r="BC34" i="20"/>
  <c r="AY34" i="20"/>
  <c r="AW34" i="20"/>
  <c r="AV34" i="20"/>
  <c r="AR34" i="20"/>
  <c r="AP34" i="20"/>
  <c r="AO34" i="20"/>
  <c r="AK34" i="20"/>
  <c r="AI34" i="20"/>
  <c r="AH34" i="20"/>
  <c r="AD34" i="20"/>
  <c r="AB34" i="20"/>
  <c r="AA34" i="20"/>
  <c r="W34" i="20"/>
  <c r="U34" i="20"/>
  <c r="T34" i="20"/>
  <c r="P34" i="20"/>
  <c r="N34" i="20"/>
  <c r="M34" i="20"/>
  <c r="I34" i="20"/>
  <c r="G34" i="20"/>
  <c r="F34" i="20"/>
  <c r="CY33" i="20"/>
  <c r="CZ33" i="20" s="1"/>
  <c r="CX33" i="20"/>
  <c r="CR33" i="20"/>
  <c r="CK33" i="20"/>
  <c r="CM33" i="20" s="1"/>
  <c r="CJ33" i="20"/>
  <c r="CH33" i="20"/>
  <c r="CF33" i="20"/>
  <c r="CE33" i="20"/>
  <c r="CA33" i="20"/>
  <c r="BY33" i="20"/>
  <c r="BX33" i="20"/>
  <c r="BT33" i="20"/>
  <c r="BR33" i="20"/>
  <c r="BQ33" i="20"/>
  <c r="BK33" i="20"/>
  <c r="BJ33" i="20"/>
  <c r="BF33" i="20"/>
  <c r="BD33" i="20"/>
  <c r="BC33" i="20"/>
  <c r="AY33" i="20"/>
  <c r="AW33" i="20"/>
  <c r="AV33" i="20"/>
  <c r="AR33" i="20"/>
  <c r="AP33" i="20"/>
  <c r="AO33" i="20"/>
  <c r="AI33" i="20"/>
  <c r="AH33" i="20"/>
  <c r="AD33" i="20"/>
  <c r="AB33" i="20"/>
  <c r="AA33" i="20"/>
  <c r="W33" i="20"/>
  <c r="U33" i="20"/>
  <c r="T33" i="20"/>
  <c r="P33" i="20"/>
  <c r="N33" i="20"/>
  <c r="M33" i="20"/>
  <c r="CL33" i="20" s="1"/>
  <c r="I33" i="20"/>
  <c r="G33" i="20"/>
  <c r="F33" i="20"/>
  <c r="CY32" i="20"/>
  <c r="CZ32" i="20" s="1"/>
  <c r="DA32" i="20" s="1"/>
  <c r="CX32" i="20"/>
  <c r="CR32" i="20"/>
  <c r="CT32" i="20" s="1"/>
  <c r="CK32" i="20"/>
  <c r="CM32" i="20" s="1"/>
  <c r="CJ32" i="20"/>
  <c r="CH32" i="20"/>
  <c r="CF32" i="20"/>
  <c r="CE32" i="20"/>
  <c r="CA32" i="20"/>
  <c r="BY32" i="20"/>
  <c r="BX32" i="20"/>
  <c r="BT32" i="20"/>
  <c r="BR32" i="20"/>
  <c r="BQ32" i="20"/>
  <c r="BM32" i="20"/>
  <c r="BK32" i="20"/>
  <c r="BJ32" i="20"/>
  <c r="BF32" i="20"/>
  <c r="BD32" i="20"/>
  <c r="BC32" i="20"/>
  <c r="AY32" i="20"/>
  <c r="AW32" i="20"/>
  <c r="AV32" i="20"/>
  <c r="AR32" i="20"/>
  <c r="AP32" i="20"/>
  <c r="AO32" i="20"/>
  <c r="AK32" i="20"/>
  <c r="AI32" i="20"/>
  <c r="AH32" i="20"/>
  <c r="AD32" i="20"/>
  <c r="AB32" i="20"/>
  <c r="AA32" i="20"/>
  <c r="W32" i="20"/>
  <c r="U32" i="20"/>
  <c r="T32" i="20"/>
  <c r="P32" i="20"/>
  <c r="N32" i="20"/>
  <c r="M32" i="20"/>
  <c r="I32" i="20"/>
  <c r="G32" i="20"/>
  <c r="F32" i="20"/>
  <c r="CY31" i="20"/>
  <c r="CZ31" i="20" s="1"/>
  <c r="CX31" i="20"/>
  <c r="CT31" i="20"/>
  <c r="CR31" i="20"/>
  <c r="CS31" i="20" s="1"/>
  <c r="CK31" i="20"/>
  <c r="CM31" i="20" s="1"/>
  <c r="CJ31" i="20"/>
  <c r="CF31" i="20"/>
  <c r="CE31" i="20"/>
  <c r="CA31" i="20"/>
  <c r="BY31" i="20"/>
  <c r="BX31" i="20"/>
  <c r="BT31" i="20"/>
  <c r="BR31" i="20"/>
  <c r="BQ31" i="20"/>
  <c r="BK31" i="20"/>
  <c r="BJ31" i="20"/>
  <c r="BD31" i="20"/>
  <c r="BC31" i="20"/>
  <c r="AW31" i="20"/>
  <c r="AV31" i="20"/>
  <c r="AP31" i="20"/>
  <c r="AO31" i="20"/>
  <c r="AI31" i="20"/>
  <c r="AH31" i="20"/>
  <c r="AB31" i="20"/>
  <c r="AA31" i="20"/>
  <c r="U31" i="20"/>
  <c r="T31" i="20"/>
  <c r="P31" i="20"/>
  <c r="N31" i="20"/>
  <c r="M31" i="20"/>
  <c r="G31" i="20"/>
  <c r="F31" i="20"/>
  <c r="CY30" i="20"/>
  <c r="CZ30" i="20" s="1"/>
  <c r="CX30" i="20"/>
  <c r="CR30" i="20"/>
  <c r="CT30" i="20" s="1"/>
  <c r="CK30" i="20"/>
  <c r="CM30" i="20" s="1"/>
  <c r="CJ30" i="20"/>
  <c r="CH30" i="20"/>
  <c r="CF30" i="20"/>
  <c r="CE30" i="20"/>
  <c r="CA30" i="20"/>
  <c r="BY30" i="20"/>
  <c r="BX30" i="20"/>
  <c r="BT30" i="20"/>
  <c r="BR30" i="20"/>
  <c r="BQ30" i="20"/>
  <c r="BM30" i="20"/>
  <c r="BK30" i="20"/>
  <c r="BJ30" i="20"/>
  <c r="BF30" i="20"/>
  <c r="BD30" i="20"/>
  <c r="BC30" i="20"/>
  <c r="AY30" i="20"/>
  <c r="AW30" i="20"/>
  <c r="AV30" i="20"/>
  <c r="AR30" i="20"/>
  <c r="AP30" i="20"/>
  <c r="AO30" i="20"/>
  <c r="AK30" i="20"/>
  <c r="AI30" i="20"/>
  <c r="AH30" i="20"/>
  <c r="AD30" i="20"/>
  <c r="AB30" i="20"/>
  <c r="AA30" i="20"/>
  <c r="W30" i="20"/>
  <c r="U30" i="20"/>
  <c r="T30" i="20"/>
  <c r="P30" i="20"/>
  <c r="N30" i="20"/>
  <c r="M30" i="20"/>
  <c r="I30" i="20"/>
  <c r="G30" i="20"/>
  <c r="F30" i="20"/>
  <c r="CZ29" i="20"/>
  <c r="DA29" i="20" s="1"/>
  <c r="CY29" i="20"/>
  <c r="CX29" i="20"/>
  <c r="CT29" i="20"/>
  <c r="CR29" i="20"/>
  <c r="CS29" i="20" s="1"/>
  <c r="CK29" i="20"/>
  <c r="CM29" i="20" s="1"/>
  <c r="CJ29" i="20"/>
  <c r="CF29" i="20"/>
  <c r="CE29" i="20"/>
  <c r="BY29" i="20"/>
  <c r="BX29" i="20"/>
  <c r="BT29" i="20"/>
  <c r="BR29" i="20"/>
  <c r="BQ29" i="20"/>
  <c r="BK29" i="20"/>
  <c r="BJ29" i="20"/>
  <c r="BD29" i="20"/>
  <c r="BC29" i="20"/>
  <c r="AW29" i="20"/>
  <c r="AV29" i="20"/>
  <c r="AP29" i="20"/>
  <c r="AO29" i="20"/>
  <c r="AI29" i="20"/>
  <c r="AH29" i="20"/>
  <c r="AD29" i="20"/>
  <c r="AB29" i="20"/>
  <c r="AA29" i="20"/>
  <c r="U29" i="20"/>
  <c r="T29" i="20"/>
  <c r="P29" i="20"/>
  <c r="CV29" i="20" s="1"/>
  <c r="N29" i="20"/>
  <c r="M29" i="20"/>
  <c r="G29" i="20"/>
  <c r="F29" i="20"/>
  <c r="CY28" i="20"/>
  <c r="CZ28" i="20" s="1"/>
  <c r="CX28" i="20"/>
  <c r="CV28" i="20"/>
  <c r="CT28" i="20"/>
  <c r="CS28" i="20"/>
  <c r="CR28" i="20"/>
  <c r="CO28" i="20"/>
  <c r="CM28" i="20"/>
  <c r="CK28" i="20"/>
  <c r="CJ28" i="20"/>
  <c r="CF28" i="20"/>
  <c r="CE28" i="20"/>
  <c r="BY28" i="20"/>
  <c r="BX28" i="20"/>
  <c r="BR28" i="20"/>
  <c r="BQ28" i="20"/>
  <c r="BK28" i="20"/>
  <c r="BJ28" i="20"/>
  <c r="BD28" i="20"/>
  <c r="BC28" i="20"/>
  <c r="AW28" i="20"/>
  <c r="AV28" i="20"/>
  <c r="AP28" i="20"/>
  <c r="AO28" i="20"/>
  <c r="AI28" i="20"/>
  <c r="AH28" i="20"/>
  <c r="AB28" i="20"/>
  <c r="AA28" i="20"/>
  <c r="U28" i="20"/>
  <c r="T28" i="20"/>
  <c r="N28" i="20"/>
  <c r="M28" i="20"/>
  <c r="G28" i="20"/>
  <c r="F28" i="20"/>
  <c r="CY27" i="20"/>
  <c r="CZ27" i="20" s="1"/>
  <c r="DA27" i="20" s="1"/>
  <c r="CX27" i="20"/>
  <c r="CR27" i="20"/>
  <c r="CS27" i="20" s="1"/>
  <c r="CK27" i="20"/>
  <c r="CM27" i="20" s="1"/>
  <c r="CJ27" i="20"/>
  <c r="CH27" i="20"/>
  <c r="CF27" i="20"/>
  <c r="CE27" i="20"/>
  <c r="CA27" i="20"/>
  <c r="BY27" i="20"/>
  <c r="BX27" i="20"/>
  <c r="BT27" i="20"/>
  <c r="BR27" i="20"/>
  <c r="BQ27" i="20"/>
  <c r="BM27" i="20"/>
  <c r="BK27" i="20"/>
  <c r="BJ27" i="20"/>
  <c r="BF27" i="20"/>
  <c r="BD27" i="20"/>
  <c r="BC27" i="20"/>
  <c r="AY27" i="20"/>
  <c r="AW27" i="20"/>
  <c r="AV27" i="20"/>
  <c r="AR27" i="20"/>
  <c r="AP27" i="20"/>
  <c r="AO27" i="20"/>
  <c r="AK27" i="20"/>
  <c r="AI27" i="20"/>
  <c r="AH27" i="20"/>
  <c r="AD27" i="20"/>
  <c r="AB27" i="20"/>
  <c r="AA27" i="20"/>
  <c r="W27" i="20"/>
  <c r="CO27" i="20" s="1"/>
  <c r="U27" i="20"/>
  <c r="T27" i="20"/>
  <c r="P27" i="20"/>
  <c r="N27" i="20"/>
  <c r="M27" i="20"/>
  <c r="I27" i="20"/>
  <c r="G27" i="20"/>
  <c r="F27" i="20"/>
  <c r="CL27" i="20" s="1"/>
  <c r="CY26" i="20"/>
  <c r="CZ26" i="20" s="1"/>
  <c r="CX26" i="20"/>
  <c r="CR26" i="20"/>
  <c r="CK26" i="20"/>
  <c r="CM26" i="20" s="1"/>
  <c r="CJ26" i="20"/>
  <c r="CH26" i="20"/>
  <c r="CF26" i="20"/>
  <c r="CE26" i="20"/>
  <c r="CA26" i="20"/>
  <c r="BY26" i="20"/>
  <c r="BX26" i="20"/>
  <c r="BT26" i="20"/>
  <c r="BR26" i="20"/>
  <c r="BQ26" i="20"/>
  <c r="BM26" i="20"/>
  <c r="BM25" i="20" s="1"/>
  <c r="BK26" i="20"/>
  <c r="BJ26" i="20"/>
  <c r="BJ25" i="20" s="1"/>
  <c r="BF26" i="20"/>
  <c r="BD26" i="20"/>
  <c r="BC26" i="20"/>
  <c r="BC25" i="20" s="1"/>
  <c r="AY26" i="20"/>
  <c r="AW26" i="20"/>
  <c r="AV26" i="20"/>
  <c r="AR26" i="20"/>
  <c r="AP26" i="20"/>
  <c r="AO26" i="20"/>
  <c r="AK26" i="20"/>
  <c r="AI26" i="20"/>
  <c r="AH26" i="20"/>
  <c r="AD26" i="20"/>
  <c r="AB26" i="20"/>
  <c r="AA26" i="20"/>
  <c r="W26" i="20"/>
  <c r="U26" i="20"/>
  <c r="T26" i="20"/>
  <c r="P26" i="20"/>
  <c r="P25" i="20" s="1"/>
  <c r="N26" i="20"/>
  <c r="M26" i="20"/>
  <c r="I26" i="20"/>
  <c r="G26" i="20"/>
  <c r="F26" i="20"/>
  <c r="CQ25" i="20"/>
  <c r="CQ45" i="20" s="1"/>
  <c r="CH25" i="20"/>
  <c r="CD25" i="20"/>
  <c r="CF25" i="20" s="1"/>
  <c r="CC25" i="20"/>
  <c r="CA25" i="20"/>
  <c r="BW25" i="20"/>
  <c r="BV25" i="20"/>
  <c r="BP25" i="20"/>
  <c r="BO25" i="20"/>
  <c r="BI25" i="20"/>
  <c r="BK25" i="20" s="1"/>
  <c r="BH25" i="20"/>
  <c r="BF25" i="20"/>
  <c r="BB25" i="20"/>
  <c r="BA25" i="20"/>
  <c r="AU25" i="20"/>
  <c r="AT25" i="20"/>
  <c r="AN25" i="20"/>
  <c r="AM25" i="20"/>
  <c r="AG25" i="20"/>
  <c r="AF25" i="20"/>
  <c r="Z25" i="20"/>
  <c r="Y25" i="20"/>
  <c r="W25" i="20"/>
  <c r="S25" i="20"/>
  <c r="R25" i="20"/>
  <c r="L25" i="20"/>
  <c r="K25" i="20"/>
  <c r="F25" i="20"/>
  <c r="E25" i="20"/>
  <c r="D25" i="20"/>
  <c r="CY24" i="20"/>
  <c r="CZ24" i="20" s="1"/>
  <c r="DA24" i="20" s="1"/>
  <c r="CX24" i="20"/>
  <c r="CR24" i="20"/>
  <c r="CS24" i="20" s="1"/>
  <c r="CK24" i="20"/>
  <c r="CJ24" i="20"/>
  <c r="CH24" i="20"/>
  <c r="CF24" i="20"/>
  <c r="CE24" i="20"/>
  <c r="CA24" i="20"/>
  <c r="BY24" i="20"/>
  <c r="BX24" i="20"/>
  <c r="BT24" i="20"/>
  <c r="BT23" i="20" s="1"/>
  <c r="BR24" i="20"/>
  <c r="BQ24" i="20"/>
  <c r="BM24" i="20"/>
  <c r="BM23" i="20" s="1"/>
  <c r="BK24" i="20"/>
  <c r="BJ24" i="20"/>
  <c r="BD24" i="20"/>
  <c r="BC24" i="20"/>
  <c r="AY24" i="20"/>
  <c r="AY23" i="20" s="1"/>
  <c r="AW24" i="20"/>
  <c r="AV24" i="20"/>
  <c r="AR24" i="20"/>
  <c r="AP24" i="20"/>
  <c r="AO24" i="20"/>
  <c r="AK24" i="20"/>
  <c r="AI24" i="20"/>
  <c r="AH24" i="20"/>
  <c r="AB24" i="20"/>
  <c r="AA24" i="20"/>
  <c r="W24" i="20"/>
  <c r="U24" i="20"/>
  <c r="T24" i="20"/>
  <c r="N24" i="20"/>
  <c r="M24" i="20"/>
  <c r="I24" i="20"/>
  <c r="CO24" i="20" s="1"/>
  <c r="G24" i="20"/>
  <c r="F24" i="20"/>
  <c r="CH23" i="20"/>
  <c r="CH45" i="20" s="1"/>
  <c r="CD23" i="20"/>
  <c r="CF23" i="20" s="1"/>
  <c r="CC23" i="20"/>
  <c r="CA23" i="20"/>
  <c r="BW23" i="20"/>
  <c r="BV23" i="20"/>
  <c r="CY23" i="20" s="1"/>
  <c r="CZ23" i="20" s="1"/>
  <c r="BP23" i="20"/>
  <c r="BP45" i="20" s="1"/>
  <c r="BO23" i="20"/>
  <c r="BI23" i="20"/>
  <c r="BH23" i="20"/>
  <c r="BB23" i="20"/>
  <c r="BA23" i="20"/>
  <c r="AU23" i="20"/>
  <c r="AW23" i="20" s="1"/>
  <c r="AT23" i="20"/>
  <c r="AR23" i="20"/>
  <c r="AN23" i="20"/>
  <c r="AO23" i="20" s="1"/>
  <c r="AM23" i="20"/>
  <c r="AM45" i="20" s="1"/>
  <c r="AK23" i="20"/>
  <c r="AG23" i="20"/>
  <c r="AF23" i="20"/>
  <c r="AD23" i="20"/>
  <c r="Z23" i="20"/>
  <c r="AA23" i="20" s="1"/>
  <c r="Y23" i="20"/>
  <c r="Y45" i="20" s="1"/>
  <c r="W23" i="20"/>
  <c r="S23" i="20"/>
  <c r="S45" i="20" s="1"/>
  <c r="R23" i="20"/>
  <c r="R45" i="20" s="1"/>
  <c r="P23" i="20"/>
  <c r="L23" i="20"/>
  <c r="N23" i="20" s="1"/>
  <c r="K23" i="20"/>
  <c r="E23" i="20"/>
  <c r="D23" i="20"/>
  <c r="CQ22" i="20"/>
  <c r="CH22" i="20"/>
  <c r="BT22" i="20"/>
  <c r="BM22" i="20"/>
  <c r="BH22" i="20"/>
  <c r="BF22" i="20"/>
  <c r="AG22" i="20"/>
  <c r="AD22" i="20"/>
  <c r="Z22" i="20"/>
  <c r="Y22" i="20"/>
  <c r="S22" i="20"/>
  <c r="R22" i="20"/>
  <c r="K22" i="20"/>
  <c r="N22" i="20" s="1"/>
  <c r="I22" i="20"/>
  <c r="G22" i="20"/>
  <c r="E22" i="20"/>
  <c r="D22" i="20"/>
  <c r="CY21" i="20"/>
  <c r="CZ21" i="20" s="1"/>
  <c r="DA21" i="20" s="1"/>
  <c r="CX21" i="20"/>
  <c r="CS21" i="20"/>
  <c r="CR21" i="20"/>
  <c r="CT21" i="20" s="1"/>
  <c r="CK21" i="20"/>
  <c r="CL21" i="20" s="1"/>
  <c r="CJ21" i="20"/>
  <c r="CM21" i="20" s="1"/>
  <c r="CF21" i="20"/>
  <c r="CE21" i="20"/>
  <c r="BY21" i="20"/>
  <c r="BX21" i="20"/>
  <c r="BR21" i="20"/>
  <c r="BQ21" i="20"/>
  <c r="BK21" i="20"/>
  <c r="BJ21" i="20"/>
  <c r="BD21" i="20"/>
  <c r="BC21" i="20"/>
  <c r="AY21" i="20"/>
  <c r="CO21" i="20" s="1"/>
  <c r="AW21" i="20"/>
  <c r="AV21" i="20"/>
  <c r="AP21" i="20"/>
  <c r="AO21" i="20"/>
  <c r="AI21" i="20"/>
  <c r="AH21" i="20"/>
  <c r="AA21" i="20"/>
  <c r="U21" i="20"/>
  <c r="T21" i="20"/>
  <c r="N21" i="20"/>
  <c r="M21" i="20"/>
  <c r="G21" i="20"/>
  <c r="F21" i="20"/>
  <c r="CZ20" i="20"/>
  <c r="CY20" i="20"/>
  <c r="CX20" i="20"/>
  <c r="CT20" i="20"/>
  <c r="CR20" i="20"/>
  <c r="CS20" i="20" s="1"/>
  <c r="CK20" i="20"/>
  <c r="CJ20" i="20"/>
  <c r="CM20" i="20" s="1"/>
  <c r="CF20" i="20"/>
  <c r="CE20" i="20"/>
  <c r="BY20" i="20"/>
  <c r="BX20" i="20"/>
  <c r="BR20" i="20"/>
  <c r="BQ20" i="20"/>
  <c r="BK20" i="20"/>
  <c r="BJ20" i="20"/>
  <c r="BJ22" i="20" s="1"/>
  <c r="BD20" i="20"/>
  <c r="BC20" i="20"/>
  <c r="AY20" i="20"/>
  <c r="AY19" i="20" s="1"/>
  <c r="AY22" i="20" s="1"/>
  <c r="AW20" i="20"/>
  <c r="AV20" i="20"/>
  <c r="AR20" i="20"/>
  <c r="AR19" i="20" s="1"/>
  <c r="AR22" i="20" s="1"/>
  <c r="AP20" i="20"/>
  <c r="AO20" i="20"/>
  <c r="AK20" i="20"/>
  <c r="AI20" i="20"/>
  <c r="AH20" i="20"/>
  <c r="AH22" i="20" s="1"/>
  <c r="AA20" i="20"/>
  <c r="AA22" i="20" s="1"/>
  <c r="W20" i="20"/>
  <c r="W22" i="20" s="1"/>
  <c r="U20" i="20"/>
  <c r="T20" i="20"/>
  <c r="T22" i="20" s="1"/>
  <c r="P20" i="20"/>
  <c r="N20" i="20"/>
  <c r="M20" i="20"/>
  <c r="G20" i="20"/>
  <c r="F20" i="20"/>
  <c r="F22" i="20" s="1"/>
  <c r="CH19" i="20"/>
  <c r="CD19" i="20"/>
  <c r="CC19" i="20"/>
  <c r="CC22" i="20" s="1"/>
  <c r="CA19" i="20"/>
  <c r="CA22" i="20" s="1"/>
  <c r="BW19" i="20"/>
  <c r="BY19" i="20" s="1"/>
  <c r="BV19" i="20"/>
  <c r="BV22" i="20" s="1"/>
  <c r="BR19" i="20"/>
  <c r="BP19" i="20"/>
  <c r="BQ19" i="20" s="1"/>
  <c r="BO19" i="20"/>
  <c r="BM19" i="20"/>
  <c r="BI19" i="20"/>
  <c r="BH19" i="20"/>
  <c r="BD19" i="20"/>
  <c r="BB19" i="20"/>
  <c r="BC19" i="20" s="1"/>
  <c r="BA19" i="20"/>
  <c r="BA22" i="20" s="1"/>
  <c r="AU19" i="20"/>
  <c r="AT19" i="20"/>
  <c r="AT22" i="20" s="1"/>
  <c r="AN19" i="20"/>
  <c r="AN22" i="20" s="1"/>
  <c r="AO22" i="20" s="1"/>
  <c r="AM19" i="20"/>
  <c r="AM22" i="20" s="1"/>
  <c r="AK19" i="20"/>
  <c r="AK22" i="20" s="1"/>
  <c r="AI19" i="20"/>
  <c r="AG19" i="20"/>
  <c r="AH19" i="20" s="1"/>
  <c r="AF19" i="20"/>
  <c r="AF22" i="20" s="1"/>
  <c r="AI22" i="20" s="1"/>
  <c r="AD19" i="20"/>
  <c r="AB19" i="20"/>
  <c r="Z19" i="20"/>
  <c r="Y19" i="20"/>
  <c r="CJ19" i="20" s="1"/>
  <c r="W19" i="20"/>
  <c r="S19" i="20"/>
  <c r="R19" i="20"/>
  <c r="L19" i="20"/>
  <c r="M19" i="20" s="1"/>
  <c r="K19" i="20"/>
  <c r="I19" i="20"/>
  <c r="F19" i="20"/>
  <c r="E19" i="20"/>
  <c r="G19" i="20" s="1"/>
  <c r="D19" i="20"/>
  <c r="CQ18" i="20"/>
  <c r="CY17" i="20"/>
  <c r="CZ17" i="20" s="1"/>
  <c r="DA17" i="20" s="1"/>
  <c r="CX17" i="20"/>
  <c r="CT17" i="20"/>
  <c r="CR17" i="20"/>
  <c r="CS17" i="20" s="1"/>
  <c r="CK17" i="20"/>
  <c r="CL17" i="20" s="1"/>
  <c r="CJ17" i="20"/>
  <c r="CF17" i="20"/>
  <c r="CE17" i="20"/>
  <c r="BY17" i="20"/>
  <c r="BX17" i="20"/>
  <c r="BR17" i="20"/>
  <c r="BQ17" i="20"/>
  <c r="BK17" i="20"/>
  <c r="BJ17" i="20"/>
  <c r="BD17" i="20"/>
  <c r="BC17" i="20"/>
  <c r="AW17" i="20"/>
  <c r="AV17" i="20"/>
  <c r="AP17" i="20"/>
  <c r="AO17" i="20"/>
  <c r="AI17" i="20"/>
  <c r="AH17" i="20"/>
  <c r="AB17" i="20"/>
  <c r="AA17" i="20"/>
  <c r="U17" i="20"/>
  <c r="T17" i="20"/>
  <c r="N17" i="20"/>
  <c r="M17" i="20"/>
  <c r="I17" i="20"/>
  <c r="G17" i="20"/>
  <c r="F17" i="20"/>
  <c r="CY16" i="20"/>
  <c r="CZ16" i="20" s="1"/>
  <c r="CX16" i="20"/>
  <c r="CR16" i="20"/>
  <c r="CS16" i="20" s="1"/>
  <c r="CK16" i="20"/>
  <c r="CJ16" i="20"/>
  <c r="CF16" i="20"/>
  <c r="CE16" i="20"/>
  <c r="CA16" i="20"/>
  <c r="BY16" i="20"/>
  <c r="BX16" i="20"/>
  <c r="BT16" i="20"/>
  <c r="BR16" i="20"/>
  <c r="BQ16" i="20"/>
  <c r="BK16" i="20"/>
  <c r="BJ16" i="20"/>
  <c r="BD16" i="20"/>
  <c r="BC16" i="20"/>
  <c r="AY16" i="20"/>
  <c r="AW16" i="20"/>
  <c r="AV16" i="20"/>
  <c r="AR16" i="20"/>
  <c r="AP16" i="20"/>
  <c r="AO16" i="20"/>
  <c r="AK16" i="20"/>
  <c r="AI16" i="20"/>
  <c r="AH16" i="20"/>
  <c r="AB16" i="20"/>
  <c r="AA16" i="20"/>
  <c r="U16" i="20"/>
  <c r="T16" i="20"/>
  <c r="P16" i="20"/>
  <c r="N16" i="20"/>
  <c r="M16" i="20"/>
  <c r="I16" i="20"/>
  <c r="CO16" i="20" s="1"/>
  <c r="G16" i="20"/>
  <c r="F16" i="20"/>
  <c r="CZ15" i="20"/>
  <c r="DA15" i="20" s="1"/>
  <c r="CY15" i="20"/>
  <c r="CX15" i="20"/>
  <c r="CR15" i="20"/>
  <c r="CK15" i="20"/>
  <c r="CJ15" i="20"/>
  <c r="CH15" i="20"/>
  <c r="CF15" i="20"/>
  <c r="CE15" i="20"/>
  <c r="CA15" i="20"/>
  <c r="CA14" i="20" s="1"/>
  <c r="BY15" i="20"/>
  <c r="BX15" i="20"/>
  <c r="BT15" i="20"/>
  <c r="BT14" i="20" s="1"/>
  <c r="BR15" i="20"/>
  <c r="BQ15" i="20"/>
  <c r="BM15" i="20"/>
  <c r="BK15" i="20"/>
  <c r="BJ15" i="20"/>
  <c r="BF15" i="20"/>
  <c r="BF14" i="20" s="1"/>
  <c r="BD15" i="20"/>
  <c r="BC15" i="20"/>
  <c r="AY15" i="20"/>
  <c r="AY14" i="20" s="1"/>
  <c r="AW15" i="20"/>
  <c r="AV15" i="20"/>
  <c r="AR15" i="20"/>
  <c r="AP15" i="20"/>
  <c r="AO15" i="20"/>
  <c r="AK15" i="20"/>
  <c r="AK14" i="20" s="1"/>
  <c r="AI15" i="20"/>
  <c r="AH15" i="20"/>
  <c r="AD15" i="20"/>
  <c r="AB15" i="20"/>
  <c r="AA15" i="20"/>
  <c r="W15" i="20"/>
  <c r="W14" i="20" s="1"/>
  <c r="U15" i="20"/>
  <c r="T15" i="20"/>
  <c r="P15" i="20"/>
  <c r="CV15" i="20" s="1"/>
  <c r="N15" i="20"/>
  <c r="M15" i="20"/>
  <c r="I15" i="20"/>
  <c r="G15" i="20"/>
  <c r="F15" i="20"/>
  <c r="CH14" i="20"/>
  <c r="CD14" i="20"/>
  <c r="CC14" i="20"/>
  <c r="BW14" i="20"/>
  <c r="BV14" i="20"/>
  <c r="BP14" i="20"/>
  <c r="BO14" i="20"/>
  <c r="BM14" i="20"/>
  <c r="BI14" i="20"/>
  <c r="BH14" i="20"/>
  <c r="BD14" i="20"/>
  <c r="BC14" i="20"/>
  <c r="BB14" i="20"/>
  <c r="BA14" i="20"/>
  <c r="AU14" i="20"/>
  <c r="AT14" i="20"/>
  <c r="AV14" i="20" s="1"/>
  <c r="AR14" i="20"/>
  <c r="AN14" i="20"/>
  <c r="AM14" i="20"/>
  <c r="AG14" i="20"/>
  <c r="AI14" i="20" s="1"/>
  <c r="AF14" i="20"/>
  <c r="AD14" i="20"/>
  <c r="Z14" i="20"/>
  <c r="AB14" i="20" s="1"/>
  <c r="Y14" i="20"/>
  <c r="S14" i="20"/>
  <c r="T14" i="20" s="1"/>
  <c r="R14" i="20"/>
  <c r="L14" i="20"/>
  <c r="N14" i="20" s="1"/>
  <c r="K14" i="20"/>
  <c r="E14" i="20"/>
  <c r="D14" i="20"/>
  <c r="CY13" i="20"/>
  <c r="CZ13" i="20" s="1"/>
  <c r="DA13" i="20" s="1"/>
  <c r="CX13" i="20"/>
  <c r="CR13" i="20"/>
  <c r="CT13" i="20" s="1"/>
  <c r="CK13" i="20"/>
  <c r="CM13" i="20" s="1"/>
  <c r="CJ13" i="20"/>
  <c r="CH13" i="20"/>
  <c r="CH12" i="20" s="1"/>
  <c r="CF13" i="20"/>
  <c r="CE13" i="20"/>
  <c r="CA13" i="20"/>
  <c r="BY13" i="20"/>
  <c r="BX13" i="20"/>
  <c r="BT13" i="20"/>
  <c r="BT12" i="20" s="1"/>
  <c r="BR13" i="20"/>
  <c r="BQ13" i="20"/>
  <c r="BK13" i="20"/>
  <c r="BJ13" i="20"/>
  <c r="BF13" i="20"/>
  <c r="BD13" i="20"/>
  <c r="BC13" i="20"/>
  <c r="AY13" i="20"/>
  <c r="AY12" i="20" s="1"/>
  <c r="AW13" i="20"/>
  <c r="AV13" i="20"/>
  <c r="AR13" i="20"/>
  <c r="AR12" i="20" s="1"/>
  <c r="AP13" i="20"/>
  <c r="AO13" i="20"/>
  <c r="AK13" i="20"/>
  <c r="AK12" i="20" s="1"/>
  <c r="AI13" i="20"/>
  <c r="AH13" i="20"/>
  <c r="AB13" i="20"/>
  <c r="AA13" i="20"/>
  <c r="U13" i="20"/>
  <c r="T13" i="20"/>
  <c r="P13" i="20"/>
  <c r="N13" i="20"/>
  <c r="M13" i="20"/>
  <c r="I13" i="20"/>
  <c r="I12" i="20" s="1"/>
  <c r="G13" i="20"/>
  <c r="F13" i="20"/>
  <c r="CD12" i="20"/>
  <c r="CE12" i="20" s="1"/>
  <c r="CC12" i="20"/>
  <c r="CA12" i="20"/>
  <c r="BW12" i="20"/>
  <c r="BY12" i="20" s="1"/>
  <c r="BV12" i="20"/>
  <c r="BR12" i="20"/>
  <c r="BP12" i="20"/>
  <c r="BO12" i="20"/>
  <c r="BQ12" i="20" s="1"/>
  <c r="BM12" i="20"/>
  <c r="BI12" i="20"/>
  <c r="BH12" i="20"/>
  <c r="BF12" i="20"/>
  <c r="BB12" i="20"/>
  <c r="BD12" i="20" s="1"/>
  <c r="BA12" i="20"/>
  <c r="AU12" i="20"/>
  <c r="AW12" i="20" s="1"/>
  <c r="AT12" i="20"/>
  <c r="AP12" i="20"/>
  <c r="AN12" i="20"/>
  <c r="AM12" i="20"/>
  <c r="AG12" i="20"/>
  <c r="AI12" i="20" s="1"/>
  <c r="AF12" i="20"/>
  <c r="AD12" i="20"/>
  <c r="Z12" i="20"/>
  <c r="Y12" i="20"/>
  <c r="W12" i="20"/>
  <c r="S12" i="20"/>
  <c r="U12" i="20" s="1"/>
  <c r="R12" i="20"/>
  <c r="P12" i="20"/>
  <c r="L12" i="20"/>
  <c r="N12" i="20" s="1"/>
  <c r="K12" i="20"/>
  <c r="E12" i="20"/>
  <c r="D12" i="20"/>
  <c r="CY11" i="20"/>
  <c r="CZ11" i="20" s="1"/>
  <c r="DA11" i="20" s="1"/>
  <c r="CX11" i="20"/>
  <c r="CR11" i="20"/>
  <c r="CT11" i="20" s="1"/>
  <c r="CK11" i="20"/>
  <c r="CM11" i="20" s="1"/>
  <c r="CJ11" i="20"/>
  <c r="CH11" i="20"/>
  <c r="CF11" i="20"/>
  <c r="CE11" i="20"/>
  <c r="CA11" i="20"/>
  <c r="CA10" i="20" s="1"/>
  <c r="BY11" i="20"/>
  <c r="BX11" i="20"/>
  <c r="BT11" i="20"/>
  <c r="BR11" i="20"/>
  <c r="BQ11" i="20"/>
  <c r="BM11" i="20"/>
  <c r="BM10" i="20" s="1"/>
  <c r="BK11" i="20"/>
  <c r="BJ11" i="20"/>
  <c r="BF11" i="20"/>
  <c r="BD11" i="20"/>
  <c r="BC11" i="20"/>
  <c r="AY11" i="20"/>
  <c r="AY10" i="20" s="1"/>
  <c r="AW11" i="20"/>
  <c r="AV11" i="20"/>
  <c r="AR11" i="20"/>
  <c r="AR10" i="20" s="1"/>
  <c r="AP11" i="20"/>
  <c r="AO11" i="20"/>
  <c r="AK11" i="20"/>
  <c r="AK10" i="20" s="1"/>
  <c r="AI11" i="20"/>
  <c r="AH11" i="20"/>
  <c r="AD11" i="20"/>
  <c r="AB11" i="20"/>
  <c r="AA11" i="20"/>
  <c r="W11" i="20"/>
  <c r="W10" i="20" s="1"/>
  <c r="U11" i="20"/>
  <c r="T11" i="20"/>
  <c r="P11" i="20"/>
  <c r="P10" i="20" s="1"/>
  <c r="N11" i="20"/>
  <c r="M11" i="20"/>
  <c r="I11" i="20"/>
  <c r="G11" i="20"/>
  <c r="F11" i="20"/>
  <c r="CH10" i="20"/>
  <c r="CD10" i="20"/>
  <c r="CC10" i="20"/>
  <c r="CF10" i="20" s="1"/>
  <c r="BW10" i="20"/>
  <c r="BV10" i="20"/>
  <c r="BT10" i="20"/>
  <c r="BP10" i="20"/>
  <c r="BR10" i="20" s="1"/>
  <c r="BO10" i="20"/>
  <c r="BJ10" i="20"/>
  <c r="BI10" i="20"/>
  <c r="BK10" i="20" s="1"/>
  <c r="BH10" i="20"/>
  <c r="BF10" i="20"/>
  <c r="BB10" i="20"/>
  <c r="BA10" i="20"/>
  <c r="BD10" i="20" s="1"/>
  <c r="AU10" i="20"/>
  <c r="AW10" i="20" s="1"/>
  <c r="AT10" i="20"/>
  <c r="AN10" i="20"/>
  <c r="AO10" i="20" s="1"/>
  <c r="AM10" i="20"/>
  <c r="AI10" i="20"/>
  <c r="AG10" i="20"/>
  <c r="AH10" i="20" s="1"/>
  <c r="AF10" i="20"/>
  <c r="AD10" i="20"/>
  <c r="Z10" i="20"/>
  <c r="AB10" i="20" s="1"/>
  <c r="Y10" i="20"/>
  <c r="AA10" i="20" s="1"/>
  <c r="S10" i="20"/>
  <c r="R10" i="20"/>
  <c r="M10" i="20"/>
  <c r="L10" i="20"/>
  <c r="N10" i="20" s="1"/>
  <c r="K10" i="20"/>
  <c r="E10" i="20"/>
  <c r="D10" i="20"/>
  <c r="CZ9" i="20"/>
  <c r="DA9" i="20" s="1"/>
  <c r="CY9" i="20"/>
  <c r="CX9" i="20"/>
  <c r="CT9" i="20"/>
  <c r="CS9" i="20"/>
  <c r="CR9" i="20"/>
  <c r="CK9" i="20"/>
  <c r="CM9" i="20" s="1"/>
  <c r="CJ9" i="20"/>
  <c r="CH9" i="20"/>
  <c r="CF9" i="20"/>
  <c r="CE9" i="20"/>
  <c r="BY9" i="20"/>
  <c r="BX9" i="20"/>
  <c r="BT9" i="20"/>
  <c r="BR9" i="20"/>
  <c r="BQ9" i="20"/>
  <c r="BK9" i="20"/>
  <c r="BJ9" i="20"/>
  <c r="BD9" i="20"/>
  <c r="BC9" i="20"/>
  <c r="AW9" i="20"/>
  <c r="AV9" i="20"/>
  <c r="AR9" i="20"/>
  <c r="AP9" i="20"/>
  <c r="AO9" i="20"/>
  <c r="AK9" i="20"/>
  <c r="AI9" i="20"/>
  <c r="AH9" i="20"/>
  <c r="AB9" i="20"/>
  <c r="AA9" i="20"/>
  <c r="W9" i="20"/>
  <c r="U9" i="20"/>
  <c r="T9" i="20"/>
  <c r="N9" i="20"/>
  <c r="M9" i="20"/>
  <c r="G9" i="20"/>
  <c r="F9" i="20"/>
  <c r="CY8" i="20"/>
  <c r="CZ8" i="20" s="1"/>
  <c r="CX8" i="20"/>
  <c r="CR8" i="20"/>
  <c r="CT8" i="20" s="1"/>
  <c r="CK8" i="20"/>
  <c r="CL8" i="20" s="1"/>
  <c r="CJ8" i="20"/>
  <c r="CH8" i="20"/>
  <c r="CF8" i="20"/>
  <c r="CE8" i="20"/>
  <c r="BY8" i="20"/>
  <c r="BX8" i="20"/>
  <c r="BT8" i="20"/>
  <c r="BR8" i="20"/>
  <c r="BQ8" i="20"/>
  <c r="BM8" i="20"/>
  <c r="BK8" i="20"/>
  <c r="BJ8" i="20"/>
  <c r="BD8" i="20"/>
  <c r="BC8" i="20"/>
  <c r="AW8" i="20"/>
  <c r="AV8" i="20"/>
  <c r="AP8" i="20"/>
  <c r="AO8" i="20"/>
  <c r="AK8" i="20"/>
  <c r="AI8" i="20"/>
  <c r="AH8" i="20"/>
  <c r="AD8" i="20"/>
  <c r="AD6" i="20" s="1"/>
  <c r="AB8" i="20"/>
  <c r="AA8" i="20"/>
  <c r="W8" i="20"/>
  <c r="U8" i="20"/>
  <c r="T8" i="20"/>
  <c r="P8" i="20"/>
  <c r="N8" i="20"/>
  <c r="M8" i="20"/>
  <c r="G8" i="20"/>
  <c r="F8" i="20"/>
  <c r="CY7" i="20"/>
  <c r="CZ7" i="20" s="1"/>
  <c r="DA7" i="20" s="1"/>
  <c r="CX7" i="20"/>
  <c r="CR7" i="20"/>
  <c r="CT7" i="20" s="1"/>
  <c r="CK7" i="20"/>
  <c r="CJ7" i="20"/>
  <c r="CH7" i="20"/>
  <c r="CH6" i="20" s="1"/>
  <c r="CF7" i="20"/>
  <c r="CE7" i="20"/>
  <c r="CA7" i="20"/>
  <c r="CA6" i="20" s="1"/>
  <c r="BY7" i="20"/>
  <c r="BX7" i="20"/>
  <c r="BT7" i="20"/>
  <c r="BT6" i="20" s="1"/>
  <c r="BR7" i="20"/>
  <c r="BQ7" i="20"/>
  <c r="BK7" i="20"/>
  <c r="BJ7" i="20"/>
  <c r="BF7" i="20"/>
  <c r="BD7" i="20"/>
  <c r="BC7" i="20"/>
  <c r="AY7" i="20"/>
  <c r="AY6" i="20" s="1"/>
  <c r="AW7" i="20"/>
  <c r="AV7" i="20"/>
  <c r="AR7" i="20"/>
  <c r="AP7" i="20"/>
  <c r="AO7" i="20"/>
  <c r="AK7" i="20"/>
  <c r="AI7" i="20"/>
  <c r="AH7" i="20"/>
  <c r="AD7" i="20"/>
  <c r="AB7" i="20"/>
  <c r="AA7" i="20"/>
  <c r="W7" i="20"/>
  <c r="U7" i="20"/>
  <c r="T7" i="20"/>
  <c r="P7" i="20"/>
  <c r="N7" i="20"/>
  <c r="M7" i="20"/>
  <c r="G7" i="20"/>
  <c r="F7" i="20"/>
  <c r="CD6" i="20"/>
  <c r="CC6" i="20"/>
  <c r="BW6" i="20"/>
  <c r="BX6" i="20" s="1"/>
  <c r="BV6" i="20"/>
  <c r="BY6" i="20" s="1"/>
  <c r="BR6" i="20"/>
  <c r="BP6" i="20"/>
  <c r="BQ6" i="20" s="1"/>
  <c r="BO6" i="20"/>
  <c r="CY6" i="20" s="1"/>
  <c r="CZ6" i="20" s="1"/>
  <c r="BM6" i="20"/>
  <c r="BI6" i="20"/>
  <c r="BH6" i="20"/>
  <c r="BF6" i="20"/>
  <c r="BB6" i="20"/>
  <c r="BD6" i="20" s="1"/>
  <c r="BA6" i="20"/>
  <c r="AU6" i="20"/>
  <c r="AT6" i="20"/>
  <c r="AR6" i="20"/>
  <c r="AN6" i="20"/>
  <c r="AM6" i="20"/>
  <c r="AK6" i="20"/>
  <c r="AG6" i="20"/>
  <c r="AF6" i="20"/>
  <c r="Z6" i="20"/>
  <c r="Y6" i="20"/>
  <c r="U6" i="20"/>
  <c r="T6" i="20"/>
  <c r="S6" i="20"/>
  <c r="R6" i="20"/>
  <c r="N6" i="20"/>
  <c r="M6" i="20"/>
  <c r="L6" i="20"/>
  <c r="K6" i="20"/>
  <c r="I6" i="20"/>
  <c r="E6" i="20"/>
  <c r="G6" i="20" s="1"/>
  <c r="D6" i="20"/>
  <c r="CY5" i="20"/>
  <c r="CZ5" i="20" s="1"/>
  <c r="CX5" i="20"/>
  <c r="CR5" i="20"/>
  <c r="CT5" i="20" s="1"/>
  <c r="CO5" i="20"/>
  <c r="CK5" i="20"/>
  <c r="CJ5" i="20"/>
  <c r="CF5" i="20"/>
  <c r="CE5" i="20"/>
  <c r="BY5" i="20"/>
  <c r="BX5" i="20"/>
  <c r="BT5" i="20"/>
  <c r="CV5" i="20" s="1"/>
  <c r="BR5" i="20"/>
  <c r="BQ5" i="20"/>
  <c r="BK5" i="20"/>
  <c r="BJ5" i="20"/>
  <c r="BD5" i="20"/>
  <c r="BC5" i="20"/>
  <c r="AW5" i="20"/>
  <c r="AV5" i="20"/>
  <c r="AP5" i="20"/>
  <c r="AO5" i="20"/>
  <c r="AI5" i="20"/>
  <c r="AH5" i="20"/>
  <c r="AB5" i="20"/>
  <c r="AA5" i="20"/>
  <c r="U5" i="20"/>
  <c r="T5" i="20"/>
  <c r="N5" i="20"/>
  <c r="G5" i="20"/>
  <c r="F5" i="20"/>
  <c r="CH4" i="20"/>
  <c r="CD4" i="20"/>
  <c r="CC4" i="20"/>
  <c r="CC18" i="20" s="1"/>
  <c r="CA4" i="20"/>
  <c r="BW4" i="20"/>
  <c r="BV4" i="20"/>
  <c r="BP4" i="20"/>
  <c r="BR4" i="20" s="1"/>
  <c r="BO4" i="20"/>
  <c r="BM4" i="20"/>
  <c r="BM18" i="20" s="1"/>
  <c r="BK4" i="20"/>
  <c r="BJ4" i="20"/>
  <c r="BI4" i="20"/>
  <c r="BH4" i="20"/>
  <c r="BF4" i="20"/>
  <c r="BF18" i="20" s="1"/>
  <c r="BD4" i="20"/>
  <c r="BB4" i="20"/>
  <c r="BC4" i="20" s="1"/>
  <c r="BA4" i="20"/>
  <c r="AY4" i="20"/>
  <c r="AU4" i="20"/>
  <c r="AT4" i="20"/>
  <c r="AR4" i="20"/>
  <c r="AN4" i="20"/>
  <c r="AN18" i="20" s="1"/>
  <c r="AM4" i="20"/>
  <c r="AM18" i="20" s="1"/>
  <c r="AK4" i="20"/>
  <c r="AG4" i="20"/>
  <c r="AF4" i="20"/>
  <c r="AD4" i="20"/>
  <c r="Z4" i="20"/>
  <c r="AB4" i="20" s="1"/>
  <c r="Y4" i="20"/>
  <c r="W4" i="20"/>
  <c r="S4" i="20"/>
  <c r="U4" i="20" s="1"/>
  <c r="R4" i="20"/>
  <c r="R18" i="20" s="1"/>
  <c r="P4" i="20"/>
  <c r="L4" i="20"/>
  <c r="K4" i="20"/>
  <c r="I4" i="20"/>
  <c r="E4" i="20"/>
  <c r="D4" i="20"/>
  <c r="AH4" i="20" l="1"/>
  <c r="AF18" i="20"/>
  <c r="CO7" i="20"/>
  <c r="AW14" i="20"/>
  <c r="AT18" i="20"/>
  <c r="CY19" i="20"/>
  <c r="CZ19" i="20" s="1"/>
  <c r="BP22" i="20"/>
  <c r="BP50" i="20" s="1"/>
  <c r="CR22" i="20"/>
  <c r="CT22" i="20" s="1"/>
  <c r="AV23" i="20"/>
  <c r="CX23" i="20"/>
  <c r="AP25" i="20"/>
  <c r="CV32" i="20"/>
  <c r="BX62" i="20"/>
  <c r="N63" i="20"/>
  <c r="CV64" i="20"/>
  <c r="CS65" i="20"/>
  <c r="BW72" i="20"/>
  <c r="CE4" i="20"/>
  <c r="DA5" i="20"/>
  <c r="AH6" i="20"/>
  <c r="AW6" i="20"/>
  <c r="CE6" i="20"/>
  <c r="W6" i="20"/>
  <c r="CV9" i="20"/>
  <c r="AB12" i="20"/>
  <c r="CJ14" i="20"/>
  <c r="U14" i="20"/>
  <c r="BQ14" i="20"/>
  <c r="AW19" i="20"/>
  <c r="T23" i="20"/>
  <c r="BX23" i="20"/>
  <c r="BX45" i="20" s="1"/>
  <c r="AT45" i="20"/>
  <c r="CO29" i="20"/>
  <c r="BD39" i="20"/>
  <c r="CF39" i="20"/>
  <c r="BK43" i="20"/>
  <c r="CT44" i="20"/>
  <c r="CT46" i="20"/>
  <c r="W47" i="20"/>
  <c r="CO47" i="20" s="1"/>
  <c r="BD47" i="20"/>
  <c r="F51" i="20"/>
  <c r="CM53" i="20"/>
  <c r="AG72" i="20"/>
  <c r="CD72" i="20"/>
  <c r="AY18" i="20"/>
  <c r="CR4" i="20"/>
  <c r="CT4" i="20" s="1"/>
  <c r="BA18" i="20"/>
  <c r="F4" i="20"/>
  <c r="G4" i="20"/>
  <c r="BO18" i="20"/>
  <c r="CF4" i="20"/>
  <c r="AI6" i="20"/>
  <c r="BY14" i="20"/>
  <c r="CL20" i="20"/>
  <c r="CL22" i="20" s="1"/>
  <c r="BB22" i="20"/>
  <c r="BD22" i="20" s="1"/>
  <c r="BW22" i="20"/>
  <c r="BY22" i="20" s="1"/>
  <c r="U23" i="20"/>
  <c r="AU45" i="20"/>
  <c r="DA26" i="20"/>
  <c r="AH25" i="20"/>
  <c r="CV34" i="20"/>
  <c r="N39" i="20"/>
  <c r="CJ43" i="20"/>
  <c r="CV44" i="20"/>
  <c r="CE51" i="20"/>
  <c r="CL53" i="20"/>
  <c r="AA62" i="20"/>
  <c r="AV62" i="20"/>
  <c r="CT60" i="20"/>
  <c r="AK72" i="20"/>
  <c r="CH72" i="20"/>
  <c r="CO67" i="20"/>
  <c r="R72" i="20"/>
  <c r="AB22" i="20"/>
  <c r="BV45" i="20"/>
  <c r="CL30" i="20"/>
  <c r="AK25" i="20"/>
  <c r="BQ25" i="20"/>
  <c r="CM36" i="20"/>
  <c r="P39" i="20"/>
  <c r="AO41" i="20"/>
  <c r="BX41" i="20"/>
  <c r="CY43" i="20"/>
  <c r="CZ43" i="20" s="1"/>
  <c r="CF43" i="20"/>
  <c r="CY51" i="20"/>
  <c r="CZ51" i="20" s="1"/>
  <c r="DA51" i="20" s="1"/>
  <c r="D72" i="20"/>
  <c r="BA72" i="20"/>
  <c r="S71" i="20"/>
  <c r="S72" i="20" s="1"/>
  <c r="AR18" i="20"/>
  <c r="CJ12" i="20"/>
  <c r="AV12" i="20"/>
  <c r="BX12" i="20"/>
  <c r="CL13" i="20"/>
  <c r="AA14" i="20"/>
  <c r="CM24" i="20"/>
  <c r="G25" i="20"/>
  <c r="AB25" i="20"/>
  <c r="AD25" i="20"/>
  <c r="AY25" i="20"/>
  <c r="CL42" i="20"/>
  <c r="F43" i="20"/>
  <c r="T43" i="20"/>
  <c r="CE43" i="20"/>
  <c r="BK47" i="20"/>
  <c r="CX47" i="20"/>
  <c r="CS53" i="20"/>
  <c r="CM54" i="20"/>
  <c r="CS55" i="20"/>
  <c r="DA57" i="20"/>
  <c r="AK62" i="20"/>
  <c r="AN72" i="20"/>
  <c r="BV72" i="20"/>
  <c r="CJ4" i="20"/>
  <c r="CM5" i="20"/>
  <c r="CJ6" i="20"/>
  <c r="AO6" i="20"/>
  <c r="CM7" i="20"/>
  <c r="DA8" i="20"/>
  <c r="CK10" i="20"/>
  <c r="CY10" i="20"/>
  <c r="CZ10" i="20" s="1"/>
  <c r="T12" i="20"/>
  <c r="CD18" i="20"/>
  <c r="CV16" i="20"/>
  <c r="DA16" i="20"/>
  <c r="CE23" i="20"/>
  <c r="CL29" i="20"/>
  <c r="CV36" i="20"/>
  <c r="U39" i="20"/>
  <c r="AW39" i="20"/>
  <c r="DA44" i="20"/>
  <c r="DA46" i="20"/>
  <c r="CL60" i="20"/>
  <c r="AR72" i="20"/>
  <c r="Y72" i="20"/>
  <c r="N4" i="20"/>
  <c r="BW18" i="20"/>
  <c r="AD18" i="20"/>
  <c r="AW4" i="20"/>
  <c r="BY4" i="20"/>
  <c r="AB6" i="20"/>
  <c r="AP6" i="20"/>
  <c r="BK6" i="20"/>
  <c r="AO12" i="20"/>
  <c r="P14" i="20"/>
  <c r="AP19" i="20"/>
  <c r="BX19" i="20"/>
  <c r="BX22" i="20" s="1"/>
  <c r="CV21" i="20"/>
  <c r="CT24" i="20"/>
  <c r="AI25" i="20"/>
  <c r="CC45" i="20"/>
  <c r="CL31" i="20"/>
  <c r="CS32" i="20"/>
  <c r="CO33" i="20"/>
  <c r="CT35" i="20"/>
  <c r="CO39" i="20"/>
  <c r="CY39" i="20"/>
  <c r="CZ39" i="20" s="1"/>
  <c r="N41" i="20"/>
  <c r="CK41" i="20"/>
  <c r="CM42" i="20"/>
  <c r="AP43" i="20"/>
  <c r="BD43" i="20"/>
  <c r="AW47" i="20"/>
  <c r="CV48" i="20"/>
  <c r="CV49" i="20" s="1"/>
  <c r="CV52" i="20"/>
  <c r="DA53" i="20"/>
  <c r="CS58" i="20"/>
  <c r="DA61" i="20"/>
  <c r="CO64" i="20"/>
  <c r="AA71" i="20"/>
  <c r="BJ71" i="20"/>
  <c r="AV71" i="20"/>
  <c r="CS69" i="20"/>
  <c r="M12" i="20"/>
  <c r="CX12" i="20"/>
  <c r="R50" i="20"/>
  <c r="R78" i="20" s="1"/>
  <c r="R81" i="20" s="1"/>
  <c r="BT25" i="20"/>
  <c r="BT45" i="20" s="1"/>
  <c r="DA28" i="20"/>
  <c r="CO38" i="20"/>
  <c r="M43" i="20"/>
  <c r="CY47" i="20"/>
  <c r="CZ47" i="20" s="1"/>
  <c r="DA47" i="20" s="1"/>
  <c r="CR47" i="20"/>
  <c r="CT47" i="20" s="1"/>
  <c r="M62" i="20"/>
  <c r="AH62" i="20"/>
  <c r="CT54" i="20"/>
  <c r="CV55" i="20"/>
  <c r="DA55" i="20"/>
  <c r="DA64" i="20"/>
  <c r="BP72" i="20"/>
  <c r="AF45" i="20"/>
  <c r="N25" i="20"/>
  <c r="CA45" i="20"/>
  <c r="K45" i="20"/>
  <c r="U45" i="20"/>
  <c r="AN45" i="20"/>
  <c r="AP45" i="20" s="1"/>
  <c r="BR25" i="20"/>
  <c r="M25" i="20"/>
  <c r="AO25" i="20"/>
  <c r="DA34" i="20"/>
  <c r="P45" i="20"/>
  <c r="CJ25" i="20"/>
  <c r="CO6" i="20"/>
  <c r="CF18" i="20"/>
  <c r="W18" i="20"/>
  <c r="CV12" i="20"/>
  <c r="AO18" i="20"/>
  <c r="AP18" i="20"/>
  <c r="U10" i="20"/>
  <c r="T10" i="20"/>
  <c r="CR12" i="20"/>
  <c r="AU18" i="20"/>
  <c r="AW18" i="20" s="1"/>
  <c r="CO15" i="20"/>
  <c r="BV18" i="20"/>
  <c r="BY18" i="20" s="1"/>
  <c r="BK12" i="20"/>
  <c r="BJ12" i="20"/>
  <c r="CK12" i="20"/>
  <c r="AP14" i="20"/>
  <c r="AO14" i="20"/>
  <c r="K18" i="20"/>
  <c r="BP18" i="20"/>
  <c r="BR18" i="20" s="1"/>
  <c r="U19" i="20"/>
  <c r="T19" i="20"/>
  <c r="BA45" i="20"/>
  <c r="BA50" i="20" s="1"/>
  <c r="BA78" i="20" s="1"/>
  <c r="BA81" i="20" s="1"/>
  <c r="AY45" i="20"/>
  <c r="AY50" i="20" s="1"/>
  <c r="AY78" i="20" s="1"/>
  <c r="AY81" i="20" s="1"/>
  <c r="CO32" i="20"/>
  <c r="CV54" i="20"/>
  <c r="M66" i="20"/>
  <c r="M72" i="20" s="1"/>
  <c r="M63" i="20"/>
  <c r="CJ66" i="20"/>
  <c r="CF72" i="20"/>
  <c r="S18" i="20"/>
  <c r="U18" i="20" s="1"/>
  <c r="AO4" i="20"/>
  <c r="CH18" i="20"/>
  <c r="CH50" i="20" s="1"/>
  <c r="CH78" i="20" s="1"/>
  <c r="CH81" i="20" s="1"/>
  <c r="CL5" i="20"/>
  <c r="BC6" i="20"/>
  <c r="CK6" i="20"/>
  <c r="CX6" i="20"/>
  <c r="CV7" i="20"/>
  <c r="CL7" i="20"/>
  <c r="CO9" i="20"/>
  <c r="CS11" i="20"/>
  <c r="BR14" i="20"/>
  <c r="CE14" i="20"/>
  <c r="CX14" i="20"/>
  <c r="CL15" i="20"/>
  <c r="L18" i="20"/>
  <c r="AV19" i="20"/>
  <c r="AV22" i="20" s="1"/>
  <c r="CO20" i="20"/>
  <c r="AO45" i="20"/>
  <c r="BD23" i="20"/>
  <c r="BB45" i="20"/>
  <c r="BC23" i="20"/>
  <c r="CK23" i="20"/>
  <c r="CX25" i="20"/>
  <c r="CO26" i="20"/>
  <c r="DA36" i="20"/>
  <c r="CR39" i="20"/>
  <c r="CT39" i="20" s="1"/>
  <c r="CS40" i="20"/>
  <c r="CS39" i="20" s="1"/>
  <c r="BD41" i="20"/>
  <c r="BC41" i="20"/>
  <c r="BY41" i="20"/>
  <c r="CR43" i="20"/>
  <c r="AB43" i="20"/>
  <c r="BC43" i="20"/>
  <c r="CK43" i="20"/>
  <c r="CM43" i="20" s="1"/>
  <c r="CL48" i="20"/>
  <c r="CL49" i="20" s="1"/>
  <c r="AT50" i="20"/>
  <c r="AT78" i="20" s="1"/>
  <c r="AT81" i="20" s="1"/>
  <c r="CO57" i="20"/>
  <c r="CV57" i="20"/>
  <c r="T72" i="20"/>
  <c r="T4" i="20"/>
  <c r="AP4" i="20"/>
  <c r="BB18" i="20"/>
  <c r="BD18" i="20" s="1"/>
  <c r="BX4" i="20"/>
  <c r="CM8" i="20"/>
  <c r="CJ10" i="20"/>
  <c r="CL10" i="20" s="1"/>
  <c r="AV10" i="20"/>
  <c r="BY10" i="20"/>
  <c r="BX10" i="20"/>
  <c r="CV11" i="20"/>
  <c r="I10" i="20"/>
  <c r="I18" i="20" s="1"/>
  <c r="CY12" i="20"/>
  <c r="CZ12" i="20" s="1"/>
  <c r="DA12" i="20" s="1"/>
  <c r="CO12" i="20"/>
  <c r="CV13" i="20"/>
  <c r="CF14" i="20"/>
  <c r="CY14" i="20"/>
  <c r="CZ14" i="20" s="1"/>
  <c r="DA14" i="20" s="1"/>
  <c r="CM15" i="20"/>
  <c r="CM16" i="20"/>
  <c r="CL16" i="20"/>
  <c r="AG18" i="20"/>
  <c r="AI18" i="20" s="1"/>
  <c r="CS22" i="20"/>
  <c r="Z45" i="20"/>
  <c r="AB45" i="20" s="1"/>
  <c r="AB23" i="20"/>
  <c r="AP23" i="20"/>
  <c r="BY23" i="20"/>
  <c r="T25" i="20"/>
  <c r="CY25" i="20"/>
  <c r="CZ25" i="20" s="1"/>
  <c r="CT26" i="20"/>
  <c r="CS26" i="20"/>
  <c r="CL32" i="20"/>
  <c r="BX25" i="20"/>
  <c r="CL38" i="20"/>
  <c r="DA39" i="20"/>
  <c r="CT40" i="20"/>
  <c r="CX41" i="20"/>
  <c r="AA43" i="20"/>
  <c r="CL43" i="20" s="1"/>
  <c r="BW45" i="20"/>
  <c r="BY45" i="20" s="1"/>
  <c r="T62" i="20"/>
  <c r="CJ62" i="20"/>
  <c r="AD51" i="20"/>
  <c r="AY51" i="20"/>
  <c r="AM72" i="20"/>
  <c r="AP66" i="20"/>
  <c r="CR71" i="20"/>
  <c r="CT71" i="20" s="1"/>
  <c r="CS68" i="20"/>
  <c r="CS71" i="20" s="1"/>
  <c r="CJ71" i="20"/>
  <c r="Z72" i="20"/>
  <c r="CX4" i="20"/>
  <c r="CR10" i="20"/>
  <c r="DA10" i="20" s="1"/>
  <c r="CD22" i="20"/>
  <c r="CF22" i="20" s="1"/>
  <c r="CF19" i="20"/>
  <c r="CT33" i="20"/>
  <c r="CS33" i="20"/>
  <c r="AB41" i="20"/>
  <c r="AA41" i="20"/>
  <c r="CR66" i="20"/>
  <c r="CT66" i="20" s="1"/>
  <c r="CS64" i="20"/>
  <c r="CS66" i="20" s="1"/>
  <c r="CA18" i="20"/>
  <c r="CY4" i="20"/>
  <c r="CZ4" i="20" s="1"/>
  <c r="AV6" i="20"/>
  <c r="AA12" i="20"/>
  <c r="G14" i="20"/>
  <c r="BK14" i="20"/>
  <c r="CK14" i="20"/>
  <c r="CE19" i="20"/>
  <c r="CE22" i="20" s="1"/>
  <c r="CV24" i="20"/>
  <c r="CO34" i="20"/>
  <c r="AI43" i="20"/>
  <c r="AH43" i="20"/>
  <c r="CX62" i="20"/>
  <c r="CY62" i="20"/>
  <c r="CZ62" i="20" s="1"/>
  <c r="BR62" i="20"/>
  <c r="BX72" i="20"/>
  <c r="CM65" i="20"/>
  <c r="CL65" i="20"/>
  <c r="BH72" i="20"/>
  <c r="BK66" i="20"/>
  <c r="M4" i="20"/>
  <c r="AI4" i="20"/>
  <c r="BQ4" i="20"/>
  <c r="CS5" i="20"/>
  <c r="P6" i="20"/>
  <c r="AA6" i="20"/>
  <c r="CR6" i="20"/>
  <c r="DA6" i="20" s="1"/>
  <c r="CS7" i="20"/>
  <c r="BC12" i="20"/>
  <c r="F14" i="20"/>
  <c r="AH14" i="20"/>
  <c r="BJ14" i="20"/>
  <c r="CT16" i="20"/>
  <c r="AO19" i="20"/>
  <c r="E45" i="20"/>
  <c r="G23" i="20"/>
  <c r="BM45" i="20"/>
  <c r="BM50" i="20" s="1"/>
  <c r="BM78" i="20" s="1"/>
  <c r="BM81" i="20" s="1"/>
  <c r="BD25" i="20"/>
  <c r="CV26" i="20"/>
  <c r="I25" i="20"/>
  <c r="CT27" i="20"/>
  <c r="CL28" i="20"/>
  <c r="DA33" i="20"/>
  <c r="CT34" i="20"/>
  <c r="CS34" i="20"/>
  <c r="AW45" i="20"/>
  <c r="D18" i="20"/>
  <c r="Z18" i="20"/>
  <c r="AB18" i="20" s="1"/>
  <c r="AV4" i="20"/>
  <c r="CO4" i="20"/>
  <c r="F6" i="20"/>
  <c r="BJ6" i="20"/>
  <c r="CF6" i="20"/>
  <c r="CO8" i="20"/>
  <c r="CV8" i="20"/>
  <c r="BC10" i="20"/>
  <c r="CE10" i="20"/>
  <c r="CE18" i="20" s="1"/>
  <c r="CL11" i="20"/>
  <c r="G12" i="20"/>
  <c r="F12" i="20"/>
  <c r="CS13" i="20"/>
  <c r="CM17" i="20"/>
  <c r="BI22" i="20"/>
  <c r="BK22" i="20" s="1"/>
  <c r="BJ19" i="20"/>
  <c r="DA20" i="20"/>
  <c r="AU22" i="20"/>
  <c r="AW22" i="20" s="1"/>
  <c r="CJ22" i="20"/>
  <c r="F23" i="20"/>
  <c r="T45" i="20"/>
  <c r="AG45" i="20"/>
  <c r="AI45" i="20" s="1"/>
  <c r="AI23" i="20"/>
  <c r="AH23" i="20"/>
  <c r="BR23" i="20"/>
  <c r="BQ23" i="20"/>
  <c r="CE45" i="20"/>
  <c r="BF45" i="20"/>
  <c r="BF50" i="20" s="1"/>
  <c r="CV27" i="20"/>
  <c r="G41" i="20"/>
  <c r="CR41" i="20"/>
  <c r="DA41" i="20" s="1"/>
  <c r="AD43" i="20"/>
  <c r="CV43" i="20" s="1"/>
  <c r="CO44" i="20"/>
  <c r="L45" i="20"/>
  <c r="CL46" i="20"/>
  <c r="CL47" i="20" s="1"/>
  <c r="CF47" i="20"/>
  <c r="CL56" i="20"/>
  <c r="BT62" i="20"/>
  <c r="CK4" i="20"/>
  <c r="BI45" i="20"/>
  <c r="BK23" i="20"/>
  <c r="CR23" i="20"/>
  <c r="DA23" i="20" s="1"/>
  <c r="BK41" i="20"/>
  <c r="BJ41" i="20"/>
  <c r="CR49" i="20"/>
  <c r="CT49" i="20" s="1"/>
  <c r="CT48" i="20"/>
  <c r="CS48" i="20"/>
  <c r="CS49" i="20" s="1"/>
  <c r="AI49" i="20"/>
  <c r="R75" i="20"/>
  <c r="F10" i="20"/>
  <c r="BX14" i="20"/>
  <c r="CT15" i="20"/>
  <c r="CS15" i="20"/>
  <c r="I14" i="20"/>
  <c r="CO17" i="20"/>
  <c r="CV17" i="20"/>
  <c r="AP22" i="20"/>
  <c r="BJ23" i="20"/>
  <c r="CS30" i="20"/>
  <c r="CO31" i="20"/>
  <c r="CV31" i="20"/>
  <c r="AA66" i="20"/>
  <c r="AA72" i="20" s="1"/>
  <c r="BC66" i="20"/>
  <c r="BC72" i="20" s="1"/>
  <c r="CT64" i="20"/>
  <c r="Y18" i="20"/>
  <c r="Y50" i="20" s="1"/>
  <c r="CS8" i="20"/>
  <c r="G10" i="20"/>
  <c r="CX10" i="20"/>
  <c r="CF12" i="20"/>
  <c r="E18" i="20"/>
  <c r="CR19" i="20"/>
  <c r="N19" i="20"/>
  <c r="AV25" i="20"/>
  <c r="AV45" i="20" s="1"/>
  <c r="CS36" i="20"/>
  <c r="CT37" i="20"/>
  <c r="CS37" i="20"/>
  <c r="CL40" i="20"/>
  <c r="BJ43" i="20"/>
  <c r="DA48" i="20"/>
  <c r="S50" i="20"/>
  <c r="U49" i="20"/>
  <c r="AM50" i="20"/>
  <c r="AM78" i="20" s="1"/>
  <c r="AM81" i="20" s="1"/>
  <c r="AW72" i="20"/>
  <c r="AK18" i="20"/>
  <c r="BH18" i="20"/>
  <c r="AA4" i="20"/>
  <c r="BI18" i="20"/>
  <c r="BK18" i="20" s="1"/>
  <c r="BT4" i="20"/>
  <c r="BT18" i="20" s="1"/>
  <c r="CL9" i="20"/>
  <c r="AP10" i="20"/>
  <c r="BQ10" i="20"/>
  <c r="CO11" i="20"/>
  <c r="AH12" i="20"/>
  <c r="AH18" i="20" s="1"/>
  <c r="M14" i="20"/>
  <c r="CR14" i="20"/>
  <c r="BK19" i="20"/>
  <c r="CK19" i="20"/>
  <c r="P22" i="20"/>
  <c r="CO22" i="20" s="1"/>
  <c r="P19" i="20"/>
  <c r="CV19" i="20" s="1"/>
  <c r="CV20" i="20"/>
  <c r="M22" i="20"/>
  <c r="BC22" i="20"/>
  <c r="I23" i="20"/>
  <c r="CR25" i="20"/>
  <c r="CT25" i="20" s="1"/>
  <c r="F41" i="20"/>
  <c r="CL57" i="20"/>
  <c r="BJ72" i="20"/>
  <c r="CV65" i="20"/>
  <c r="CO13" i="20"/>
  <c r="CX19" i="20"/>
  <c r="D45" i="20"/>
  <c r="CJ23" i="20"/>
  <c r="CL24" i="20"/>
  <c r="DA31" i="20"/>
  <c r="CV33" i="20"/>
  <c r="CL34" i="20"/>
  <c r="CL36" i="20"/>
  <c r="CM37" i="20"/>
  <c r="BR41" i="20"/>
  <c r="BQ41" i="20"/>
  <c r="AP47" i="20"/>
  <c r="CK47" i="20"/>
  <c r="BM72" i="20"/>
  <c r="CL68" i="20"/>
  <c r="CM68" i="20"/>
  <c r="U22" i="20"/>
  <c r="W45" i="20"/>
  <c r="AK45" i="20"/>
  <c r="BY25" i="20"/>
  <c r="CL26" i="20"/>
  <c r="CO30" i="20"/>
  <c r="CV30" i="20"/>
  <c r="CL39" i="20"/>
  <c r="CM39" i="20"/>
  <c r="CV53" i="20"/>
  <c r="P62" i="20"/>
  <c r="CO53" i="20"/>
  <c r="P51" i="20"/>
  <c r="CO65" i="20"/>
  <c r="P63" i="20"/>
  <c r="CO63" i="20" s="1"/>
  <c r="P66" i="20"/>
  <c r="AP72" i="20"/>
  <c r="BT72" i="20"/>
  <c r="U72" i="20"/>
  <c r="AA19" i="20"/>
  <c r="M23" i="20"/>
  <c r="M45" i="20" s="1"/>
  <c r="BO45" i="20"/>
  <c r="BR45" i="20" s="1"/>
  <c r="CK25" i="20"/>
  <c r="U25" i="20"/>
  <c r="AW25" i="20"/>
  <c r="AA25" i="20"/>
  <c r="AA45" i="20" s="1"/>
  <c r="AR25" i="20"/>
  <c r="AR45" i="20" s="1"/>
  <c r="AR50" i="20" s="1"/>
  <c r="CE25" i="20"/>
  <c r="DA30" i="20"/>
  <c r="CM34" i="20"/>
  <c r="CL35" i="20"/>
  <c r="CT38" i="20"/>
  <c r="CS38" i="20"/>
  <c r="AI39" i="20"/>
  <c r="AI41" i="20"/>
  <c r="AH41" i="20"/>
  <c r="CT42" i="20"/>
  <c r="CS42" i="20"/>
  <c r="BR47" i="20"/>
  <c r="CK49" i="20"/>
  <c r="CF49" i="20"/>
  <c r="AF72" i="20"/>
  <c r="AI72" i="20" s="1"/>
  <c r="BO22" i="20"/>
  <c r="G43" i="20"/>
  <c r="CL44" i="20"/>
  <c r="CO46" i="20"/>
  <c r="L50" i="20"/>
  <c r="N49" i="20"/>
  <c r="AF50" i="20"/>
  <c r="AF78" i="20" s="1"/>
  <c r="AF81" i="20" s="1"/>
  <c r="CM52" i="20"/>
  <c r="CK62" i="20"/>
  <c r="CL55" i="20"/>
  <c r="CL58" i="20"/>
  <c r="CO58" i="20"/>
  <c r="CE72" i="20"/>
  <c r="CL69" i="20"/>
  <c r="BB72" i="20"/>
  <c r="CM38" i="20"/>
  <c r="AB39" i="20"/>
  <c r="DA40" i="20"/>
  <c r="CJ49" i="20"/>
  <c r="AD62" i="20"/>
  <c r="AD72" i="20" s="1"/>
  <c r="CL59" i="20"/>
  <c r="CT61" i="20"/>
  <c r="CS61" i="20"/>
  <c r="CK66" i="20"/>
  <c r="AI66" i="20"/>
  <c r="CO71" i="20"/>
  <c r="CV71" i="20" s="1"/>
  <c r="BH45" i="20"/>
  <c r="BH50" i="20" s="1"/>
  <c r="BH78" i="20" s="1"/>
  <c r="BH81" i="20" s="1"/>
  <c r="CD45" i="20"/>
  <c r="CF45" i="20" s="1"/>
  <c r="CJ41" i="20"/>
  <c r="CM41" i="20" s="1"/>
  <c r="CO42" i="20"/>
  <c r="CV42" i="20"/>
  <c r="AD41" i="20"/>
  <c r="CV41" i="20" s="1"/>
  <c r="CL52" i="20"/>
  <c r="CA62" i="20"/>
  <c r="CA72" i="20" s="1"/>
  <c r="CA51" i="20"/>
  <c r="CL54" i="20"/>
  <c r="CV56" i="20"/>
  <c r="CO56" i="20"/>
  <c r="CS57" i="20"/>
  <c r="CM59" i="20"/>
  <c r="AV72" i="20"/>
  <c r="K72" i="20"/>
  <c r="CT73" i="20"/>
  <c r="CS73" i="20"/>
  <c r="CV40" i="20"/>
  <c r="CV39" i="20" s="1"/>
  <c r="BW50" i="20"/>
  <c r="AO62" i="20"/>
  <c r="AO72" i="20" s="1"/>
  <c r="CF62" i="20"/>
  <c r="BI72" i="20"/>
  <c r="CM70" i="20"/>
  <c r="CL70" i="20"/>
  <c r="CM73" i="20"/>
  <c r="CJ47" i="20"/>
  <c r="Z50" i="20"/>
  <c r="AB49" i="20"/>
  <c r="CY49" i="20"/>
  <c r="CZ49" i="20" s="1"/>
  <c r="CX49" i="20"/>
  <c r="M51" i="20"/>
  <c r="CM57" i="20"/>
  <c r="BQ66" i="20"/>
  <c r="BQ72" i="20" s="1"/>
  <c r="CM64" i="20"/>
  <c r="CL64" i="20"/>
  <c r="CL66" i="20" s="1"/>
  <c r="BO72" i="20"/>
  <c r="CY66" i="20"/>
  <c r="CZ66" i="20" s="1"/>
  <c r="CX66" i="20"/>
  <c r="CV67" i="20"/>
  <c r="AH71" i="20"/>
  <c r="AH72" i="20" s="1"/>
  <c r="CO48" i="20"/>
  <c r="P49" i="20"/>
  <c r="CO49" i="20" s="1"/>
  <c r="CC50" i="20"/>
  <c r="CC78" i="20" s="1"/>
  <c r="CC81" i="20" s="1"/>
  <c r="N51" i="20"/>
  <c r="F62" i="20"/>
  <c r="F72" i="20" s="1"/>
  <c r="AY62" i="20"/>
  <c r="AY72" i="20" s="1"/>
  <c r="CT52" i="20"/>
  <c r="CR62" i="20"/>
  <c r="CT62" i="20" s="1"/>
  <c r="BK62" i="20"/>
  <c r="DA65" i="20"/>
  <c r="E72" i="20"/>
  <c r="G71" i="20"/>
  <c r="CD50" i="20" l="1"/>
  <c r="CD75" i="20" s="1"/>
  <c r="F18" i="20"/>
  <c r="BJ18" i="20"/>
  <c r="CY18" i="20"/>
  <c r="CZ18" i="20" s="1"/>
  <c r="T18" i="20"/>
  <c r="CM10" i="20"/>
  <c r="CV62" i="20"/>
  <c r="BQ45" i="20"/>
  <c r="AD75" i="20"/>
  <c r="CO41" i="20"/>
  <c r="BT50" i="20"/>
  <c r="BT78" i="20" s="1"/>
  <c r="BT81" i="20" s="1"/>
  <c r="DA4" i="20"/>
  <c r="CS4" i="20"/>
  <c r="CV22" i="20"/>
  <c r="CV6" i="20"/>
  <c r="CL62" i="20"/>
  <c r="CL72" i="20" s="1"/>
  <c r="P18" i="20"/>
  <c r="CH75" i="20"/>
  <c r="CL71" i="20"/>
  <c r="CS62" i="20"/>
  <c r="CK22" i="20"/>
  <c r="CM22" i="20" s="1"/>
  <c r="CV66" i="20"/>
  <c r="CX18" i="20"/>
  <c r="CC75" i="20"/>
  <c r="CL25" i="20"/>
  <c r="BV50" i="20"/>
  <c r="BV78" i="20" s="1"/>
  <c r="BV81" i="20" s="1"/>
  <c r="BB50" i="20"/>
  <c r="BD50" i="20" s="1"/>
  <c r="BC18" i="20"/>
  <c r="AD45" i="20"/>
  <c r="AD50" i="20" s="1"/>
  <c r="BY72" i="20"/>
  <c r="AM75" i="20"/>
  <c r="N45" i="20"/>
  <c r="CM25" i="20"/>
  <c r="K50" i="20"/>
  <c r="K75" i="20" s="1"/>
  <c r="BM75" i="20"/>
  <c r="CA50" i="20"/>
  <c r="CA78" i="20" s="1"/>
  <c r="CA81" i="20" s="1"/>
  <c r="AK50" i="20"/>
  <c r="AK78" i="20" s="1"/>
  <c r="AK81" i="20" s="1"/>
  <c r="AG50" i="20"/>
  <c r="AI50" i="20" s="1"/>
  <c r="AN50" i="20"/>
  <c r="AP50" i="20" s="1"/>
  <c r="F46" i="9"/>
  <c r="G46" i="9"/>
  <c r="F22" i="9"/>
  <c r="G22" i="9"/>
  <c r="F40" i="9"/>
  <c r="G40" i="9"/>
  <c r="F21" i="9"/>
  <c r="G21" i="9"/>
  <c r="G3" i="9"/>
  <c r="F3" i="9"/>
  <c r="F13" i="9"/>
  <c r="G13" i="9"/>
  <c r="F38" i="9"/>
  <c r="G38" i="9"/>
  <c r="F24" i="9"/>
  <c r="G24" i="9"/>
  <c r="F42" i="9"/>
  <c r="G42" i="9"/>
  <c r="F5" i="9"/>
  <c r="G5" i="9"/>
  <c r="G17" i="9"/>
  <c r="F48" i="9"/>
  <c r="G48" i="9"/>
  <c r="F9" i="9"/>
  <c r="G9" i="9"/>
  <c r="F11" i="9"/>
  <c r="G11" i="9"/>
  <c r="Y78" i="20"/>
  <c r="Y81" i="20" s="1"/>
  <c r="Y75" i="20"/>
  <c r="BF78" i="20"/>
  <c r="BF81" i="20" s="1"/>
  <c r="BF75" i="20"/>
  <c r="AR78" i="20"/>
  <c r="AR81" i="20" s="1"/>
  <c r="AR75" i="20"/>
  <c r="BA75" i="20"/>
  <c r="AN75" i="20"/>
  <c r="AP75" i="20" s="1"/>
  <c r="CO18" i="20"/>
  <c r="CO51" i="20"/>
  <c r="CJ45" i="20"/>
  <c r="BK45" i="20"/>
  <c r="BQ18" i="20"/>
  <c r="CM14" i="20"/>
  <c r="CL14" i="20"/>
  <c r="Z75" i="20"/>
  <c r="AB72" i="20"/>
  <c r="P50" i="20"/>
  <c r="P78" i="20" s="1"/>
  <c r="P81" i="20" s="1"/>
  <c r="AB50" i="20"/>
  <c r="AA50" i="20"/>
  <c r="AA75" i="20" s="1"/>
  <c r="BW75" i="20"/>
  <c r="CO62" i="20"/>
  <c r="D50" i="20"/>
  <c r="CM49" i="20"/>
  <c r="CV14" i="20"/>
  <c r="CO14" i="20"/>
  <c r="DA62" i="20"/>
  <c r="CZ72" i="20"/>
  <c r="BD45" i="20"/>
  <c r="CM6" i="20"/>
  <c r="CL6" i="20"/>
  <c r="CT12" i="20"/>
  <c r="CS12" i="20"/>
  <c r="AU50" i="20"/>
  <c r="CK72" i="20"/>
  <c r="CM66" i="20"/>
  <c r="BP75" i="20"/>
  <c r="CM47" i="20"/>
  <c r="CL41" i="20"/>
  <c r="CM19" i="20"/>
  <c r="CL19" i="20"/>
  <c r="CM4" i="20"/>
  <c r="CL4" i="20"/>
  <c r="M18" i="20"/>
  <c r="CO19" i="20"/>
  <c r="CS25" i="20"/>
  <c r="AK75" i="20"/>
  <c r="CJ72" i="20"/>
  <c r="CL12" i="20"/>
  <c r="CM12" i="20"/>
  <c r="CE50" i="20"/>
  <c r="CE75" i="20" s="1"/>
  <c r="CF50" i="20"/>
  <c r="G18" i="20"/>
  <c r="CK18" i="20"/>
  <c r="CV25" i="20"/>
  <c r="CM62" i="20"/>
  <c r="CT10" i="20"/>
  <c r="CS10" i="20"/>
  <c r="CV4" i="20"/>
  <c r="CY45" i="20"/>
  <c r="CZ45" i="20" s="1"/>
  <c r="CX45" i="20"/>
  <c r="BO50" i="20"/>
  <c r="BR50" i="20" s="1"/>
  <c r="CO23" i="20"/>
  <c r="CV23" i="20"/>
  <c r="I45" i="20"/>
  <c r="U50" i="20"/>
  <c r="T50" i="20"/>
  <c r="T75" i="20" s="1"/>
  <c r="S75" i="20"/>
  <c r="U75" i="20" s="1"/>
  <c r="CS41" i="20"/>
  <c r="CT41" i="20"/>
  <c r="CT6" i="20"/>
  <c r="CS6" i="20"/>
  <c r="DA25" i="20"/>
  <c r="CV10" i="20"/>
  <c r="CO10" i="20"/>
  <c r="DA66" i="20"/>
  <c r="BD72" i="20"/>
  <c r="BI50" i="20"/>
  <c r="BI75" i="20" s="1"/>
  <c r="BK75" i="20" s="1"/>
  <c r="AF75" i="20"/>
  <c r="P72" i="20"/>
  <c r="CO66" i="20"/>
  <c r="N72" i="20"/>
  <c r="AA18" i="20"/>
  <c r="BJ45" i="20"/>
  <c r="CJ18" i="20"/>
  <c r="CT43" i="20"/>
  <c r="CS43" i="20"/>
  <c r="DA43" i="20"/>
  <c r="AY75" i="20"/>
  <c r="CT19" i="20"/>
  <c r="DA19" i="20"/>
  <c r="CS19" i="20"/>
  <c r="CO25" i="20"/>
  <c r="AE50" i="20"/>
  <c r="AD78" i="20"/>
  <c r="AD81" i="20" s="1"/>
  <c r="F45" i="20"/>
  <c r="CL23" i="20"/>
  <c r="BC45" i="20"/>
  <c r="AV18" i="20"/>
  <c r="BQ22" i="20"/>
  <c r="CY22" i="20"/>
  <c r="CZ22" i="20" s="1"/>
  <c r="DA22" i="20" s="1"/>
  <c r="CX22" i="20"/>
  <c r="L75" i="20"/>
  <c r="CT14" i="20"/>
  <c r="CS14" i="20"/>
  <c r="AH45" i="20"/>
  <c r="CK45" i="20"/>
  <c r="G45" i="20"/>
  <c r="E50" i="20"/>
  <c r="BH75" i="20"/>
  <c r="BX18" i="20"/>
  <c r="CR18" i="20"/>
  <c r="CT18" i="20" s="1"/>
  <c r="CR72" i="20"/>
  <c r="G72" i="20"/>
  <c r="CX72" i="20"/>
  <c r="CY72" i="20"/>
  <c r="BR72" i="20"/>
  <c r="DA49" i="20"/>
  <c r="BK72" i="20"/>
  <c r="BR22" i="20"/>
  <c r="AT75" i="20"/>
  <c r="CR45" i="20"/>
  <c r="CT45" i="20" s="1"/>
  <c r="CT23" i="20"/>
  <c r="CS23" i="20"/>
  <c r="DA18" i="20"/>
  <c r="CM23" i="20"/>
  <c r="N18" i="20"/>
  <c r="W50" i="20"/>
  <c r="CO43" i="20"/>
  <c r="BC50" i="20" l="1"/>
  <c r="BC75" i="20" s="1"/>
  <c r="CL18" i="20"/>
  <c r="BX50" i="20"/>
  <c r="BX75" i="20" s="1"/>
  <c r="BT75" i="20"/>
  <c r="BB75" i="20"/>
  <c r="BD75" i="20" s="1"/>
  <c r="CA75" i="20"/>
  <c r="CK50" i="20"/>
  <c r="CK75" i="20" s="1"/>
  <c r="BV75" i="20"/>
  <c r="BY75" i="20" s="1"/>
  <c r="CF75" i="20"/>
  <c r="CS18" i="20"/>
  <c r="BY50" i="20"/>
  <c r="AO50" i="20"/>
  <c r="AO75" i="20" s="1"/>
  <c r="M50" i="20"/>
  <c r="M75" i="20" s="1"/>
  <c r="AG75" i="20"/>
  <c r="AI75" i="20" s="1"/>
  <c r="N50" i="20"/>
  <c r="AH50" i="20"/>
  <c r="AH75" i="20" s="1"/>
  <c r="F17" i="9"/>
  <c r="G44" i="9"/>
  <c r="F44" i="9"/>
  <c r="F49" i="9"/>
  <c r="CM18" i="20"/>
  <c r="CL45" i="20"/>
  <c r="CS45" i="20"/>
  <c r="N75" i="20"/>
  <c r="CV18" i="20"/>
  <c r="CX50" i="20"/>
  <c r="BO78" i="20"/>
  <c r="BO81" i="20" s="1"/>
  <c r="CY50" i="20"/>
  <c r="CZ50" i="20" s="1"/>
  <c r="DA45" i="20"/>
  <c r="BQ50" i="20"/>
  <c r="BQ75" i="20" s="1"/>
  <c r="P75" i="20"/>
  <c r="CO72" i="20"/>
  <c r="CV72" i="20"/>
  <c r="D81" i="20"/>
  <c r="CJ50" i="20"/>
  <c r="CM50" i="20" s="1"/>
  <c r="D78" i="20"/>
  <c r="D82" i="20"/>
  <c r="D75" i="20"/>
  <c r="CV45" i="20"/>
  <c r="CM72" i="20"/>
  <c r="AB75" i="20"/>
  <c r="CS72" i="20"/>
  <c r="CT72" i="20"/>
  <c r="BO75" i="20"/>
  <c r="BR75" i="20" s="1"/>
  <c r="E82" i="20"/>
  <c r="G50" i="20"/>
  <c r="E81" i="20"/>
  <c r="E78" i="20"/>
  <c r="CR50" i="20"/>
  <c r="F50" i="20"/>
  <c r="CO45" i="20"/>
  <c r="I50" i="20"/>
  <c r="W78" i="20"/>
  <c r="W81" i="20" s="1"/>
  <c r="W75" i="20"/>
  <c r="E75" i="20"/>
  <c r="CM45" i="20"/>
  <c r="BK50" i="20"/>
  <c r="BJ50" i="20"/>
  <c r="BJ75" i="20" s="1"/>
  <c r="CJ75" i="20"/>
  <c r="AW50" i="20"/>
  <c r="AV50" i="20"/>
  <c r="AV75" i="20" s="1"/>
  <c r="AU75" i="20"/>
  <c r="AW75" i="20" s="1"/>
  <c r="DA72" i="20"/>
  <c r="CR75" i="20" l="1"/>
  <c r="CT75" i="20" s="1"/>
  <c r="G75" i="20"/>
  <c r="G49" i="9"/>
  <c r="G78" i="20"/>
  <c r="G82" i="20"/>
  <c r="G81" i="20"/>
  <c r="CM75" i="20"/>
  <c r="CV50" i="20"/>
  <c r="CV78" i="20" s="1"/>
  <c r="CV81" i="20" s="1"/>
  <c r="I78" i="20"/>
  <c r="I81" i="20" s="1"/>
  <c r="CQ81" i="20" s="1"/>
  <c r="CO50" i="20"/>
  <c r="CO78" i="20" s="1"/>
  <c r="CO81" i="20" s="1"/>
  <c r="I75" i="20"/>
  <c r="F82" i="20"/>
  <c r="F78" i="20"/>
  <c r="F81" i="20"/>
  <c r="F75" i="20"/>
  <c r="CX75" i="20"/>
  <c r="CY75" i="20"/>
  <c r="CT50" i="20"/>
  <c r="CS50" i="20"/>
  <c r="CS75" i="20" s="1"/>
  <c r="CZ75" i="20"/>
  <c r="DA50" i="20"/>
  <c r="CL50" i="20"/>
  <c r="CL75" i="20" s="1"/>
  <c r="CO75" i="20" l="1"/>
  <c r="DA75" i="20"/>
  <c r="CQ78" i="20"/>
  <c r="CV75" i="20"/>
  <c r="F63" i="18" l="1"/>
  <c r="G69" i="15"/>
  <c r="G68" i="15"/>
  <c r="G66" i="15"/>
  <c r="G64" i="15"/>
  <c r="G63" i="15"/>
  <c r="G60" i="15"/>
  <c r="G59" i="15"/>
  <c r="G58" i="15"/>
  <c r="G57" i="15"/>
  <c r="G56" i="15"/>
  <c r="G55" i="15"/>
  <c r="G54" i="15"/>
  <c r="G53" i="15"/>
  <c r="G52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F69" i="15"/>
  <c r="F68" i="15"/>
  <c r="F66" i="15"/>
  <c r="F64" i="15"/>
  <c r="F63" i="15"/>
  <c r="F60" i="15"/>
  <c r="F59" i="15"/>
  <c r="F58" i="15"/>
  <c r="F57" i="15"/>
  <c r="F56" i="15"/>
  <c r="F55" i="15"/>
  <c r="F54" i="15"/>
  <c r="F53" i="15"/>
  <c r="F52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G3" i="18"/>
  <c r="I67" i="15" l="1"/>
  <c r="I70" i="15" s="1"/>
  <c r="F49" i="18" l="1"/>
  <c r="G67" i="18"/>
  <c r="F67" i="18"/>
  <c r="G66" i="18"/>
  <c r="F66" i="18"/>
  <c r="G64" i="18"/>
  <c r="F64" i="18"/>
  <c r="G62" i="18"/>
  <c r="F62" i="18"/>
  <c r="G61" i="18"/>
  <c r="F61" i="18"/>
  <c r="G59" i="18"/>
  <c r="F59" i="18"/>
  <c r="G58" i="18"/>
  <c r="F58" i="18"/>
  <c r="G57" i="18"/>
  <c r="F57" i="18"/>
  <c r="G56" i="18"/>
  <c r="F56" i="18"/>
  <c r="G55" i="18"/>
  <c r="F55" i="18"/>
  <c r="G54" i="18"/>
  <c r="F54" i="18"/>
  <c r="G53" i="18"/>
  <c r="F53" i="18"/>
  <c r="G52" i="18"/>
  <c r="F52" i="18"/>
  <c r="G51" i="18"/>
  <c r="F51" i="18"/>
  <c r="G48" i="18"/>
  <c r="F48" i="18"/>
  <c r="G47" i="18"/>
  <c r="F47" i="18"/>
  <c r="G46" i="18"/>
  <c r="F46" i="18"/>
  <c r="G45" i="18"/>
  <c r="F45" i="18"/>
  <c r="G44" i="18"/>
  <c r="F44" i="18"/>
  <c r="G43" i="18"/>
  <c r="F43" i="18"/>
  <c r="G42" i="18"/>
  <c r="F42" i="18"/>
  <c r="G41" i="18"/>
  <c r="F41" i="18"/>
  <c r="G40" i="18"/>
  <c r="F40" i="18"/>
  <c r="G39" i="18"/>
  <c r="F39" i="18"/>
  <c r="G38" i="18"/>
  <c r="F38" i="18"/>
  <c r="G37" i="18"/>
  <c r="F37" i="18"/>
  <c r="G36" i="18"/>
  <c r="F36" i="18"/>
  <c r="G35" i="18"/>
  <c r="F35" i="18"/>
  <c r="G34" i="18"/>
  <c r="F34" i="18"/>
  <c r="G33" i="18"/>
  <c r="F33" i="18"/>
  <c r="G32" i="18"/>
  <c r="F32" i="18"/>
  <c r="G31" i="18"/>
  <c r="F31" i="18"/>
  <c r="G30" i="18"/>
  <c r="F30" i="18"/>
  <c r="G29" i="18"/>
  <c r="F29" i="18"/>
  <c r="G28" i="18"/>
  <c r="F28" i="18"/>
  <c r="G27" i="18"/>
  <c r="F27" i="18"/>
  <c r="G26" i="18"/>
  <c r="F26" i="18"/>
  <c r="G25" i="18"/>
  <c r="F25" i="18"/>
  <c r="G24" i="18"/>
  <c r="F24" i="18"/>
  <c r="G23" i="18"/>
  <c r="F23" i="18"/>
  <c r="G22" i="18"/>
  <c r="F22" i="18"/>
  <c r="G21" i="18"/>
  <c r="F21" i="18"/>
  <c r="G20" i="18"/>
  <c r="F20" i="18"/>
  <c r="G19" i="18"/>
  <c r="F19" i="18"/>
  <c r="G18" i="18"/>
  <c r="F18" i="18"/>
  <c r="G17" i="18"/>
  <c r="F17" i="18"/>
  <c r="G16" i="18"/>
  <c r="F16" i="18"/>
  <c r="G15" i="18"/>
  <c r="F15" i="18"/>
  <c r="G14" i="18"/>
  <c r="F14" i="18"/>
  <c r="G13" i="18"/>
  <c r="F13" i="18"/>
  <c r="G12" i="18"/>
  <c r="F12" i="18"/>
  <c r="G11" i="18"/>
  <c r="F11" i="18"/>
  <c r="G10" i="18"/>
  <c r="F10" i="18"/>
  <c r="G9" i="18"/>
  <c r="F9" i="18"/>
  <c r="G8" i="18"/>
  <c r="F8" i="18"/>
  <c r="G7" i="18"/>
  <c r="F7" i="18"/>
  <c r="G6" i="18"/>
  <c r="F6" i="18"/>
  <c r="G5" i="18"/>
  <c r="F5" i="18"/>
  <c r="G4" i="18"/>
  <c r="F4" i="18"/>
  <c r="F3" i="18"/>
  <c r="F60" i="18" l="1"/>
  <c r="G60" i="18"/>
  <c r="G63" i="18"/>
  <c r="G49" i="18"/>
  <c r="F50" i="18"/>
  <c r="G50" i="18"/>
  <c r="F65" i="18" l="1"/>
  <c r="G65" i="18"/>
  <c r="G68" i="18" l="1"/>
  <c r="F68" i="18"/>
  <c r="G61" i="15" l="1"/>
  <c r="F65" i="15" l="1"/>
  <c r="G65" i="15"/>
  <c r="G70" i="15"/>
  <c r="F61" i="15"/>
  <c r="F70" i="15" l="1"/>
  <c r="F67" i="15"/>
  <c r="G67" i="15"/>
  <c r="I69" i="15" l="1"/>
  <c r="I68" i="15"/>
  <c r="CJ83" i="7" l="1"/>
  <c r="CJ82" i="7"/>
  <c r="CJ80" i="7"/>
  <c r="CJ78" i="7"/>
  <c r="CJ77" i="7"/>
  <c r="CJ74" i="7"/>
  <c r="CJ73" i="7"/>
  <c r="CJ72" i="7"/>
  <c r="CJ71" i="7"/>
  <c r="CJ70" i="7"/>
  <c r="CJ69" i="7"/>
  <c r="CJ68" i="7"/>
  <c r="CJ67" i="7"/>
  <c r="CJ66" i="7"/>
  <c r="CJ65" i="7"/>
  <c r="CJ61" i="7"/>
  <c r="CJ60" i="7"/>
  <c r="CJ58" i="7"/>
  <c r="CJ57" i="7"/>
  <c r="CJ55" i="7"/>
  <c r="CJ53" i="7"/>
  <c r="CJ51" i="7"/>
  <c r="CJ49" i="7"/>
  <c r="CJ48" i="7"/>
  <c r="CJ47" i="7"/>
  <c r="CJ46" i="7"/>
  <c r="CJ45" i="7"/>
  <c r="CJ44" i="7"/>
  <c r="CJ43" i="7"/>
  <c r="CJ42" i="7"/>
  <c r="CJ41" i="7"/>
  <c r="CJ40" i="7"/>
  <c r="CJ39" i="7"/>
  <c r="CJ38" i="7"/>
  <c r="CJ37" i="7"/>
  <c r="CJ35" i="7"/>
  <c r="CJ32" i="7"/>
  <c r="CJ31" i="7"/>
  <c r="CJ28" i="7"/>
  <c r="CJ27" i="7"/>
  <c r="CJ26" i="7"/>
  <c r="CJ24" i="7"/>
  <c r="CJ22" i="7"/>
  <c r="CJ20" i="7"/>
  <c r="CJ19" i="7"/>
  <c r="CJ18" i="7"/>
  <c r="CJ16" i="7"/>
  <c r="CD61" i="7" l="1"/>
  <c r="CD58" i="7"/>
  <c r="CD80" i="7" l="1"/>
  <c r="CD52" i="7"/>
  <c r="CD50" i="7"/>
  <c r="CD49" i="7"/>
  <c r="CD45" i="7"/>
  <c r="CD44" i="7"/>
  <c r="CD43" i="7"/>
  <c r="CD41" i="7"/>
  <c r="CD38" i="7"/>
  <c r="CD37" i="7"/>
  <c r="CD35" i="7"/>
  <c r="CD34" i="7" s="1"/>
  <c r="CD30" i="7"/>
  <c r="CD55" i="7"/>
  <c r="CD54" i="7" s="1"/>
  <c r="CD26" i="7"/>
  <c r="CD24" i="7"/>
  <c r="CD22" i="7"/>
  <c r="CD20" i="7"/>
  <c r="CD19" i="7"/>
  <c r="CD18" i="7"/>
  <c r="CD36" i="7" l="1"/>
  <c r="CD56" i="7" s="1"/>
  <c r="BW80" i="7" l="1"/>
  <c r="BX80" i="7" s="1"/>
  <c r="BW61" i="7"/>
  <c r="BW58" i="7"/>
  <c r="BW59" i="7" s="1"/>
  <c r="BW49" i="7"/>
  <c r="BX49" i="7" s="1"/>
  <c r="BW43" i="7"/>
  <c r="BY43" i="7" s="1"/>
  <c r="BW38" i="7"/>
  <c r="BX38" i="7" s="1"/>
  <c r="BW22" i="7"/>
  <c r="BX22" i="7" s="1"/>
  <c r="BW18" i="7"/>
  <c r="BX18" i="7" s="1"/>
  <c r="Z93" i="7"/>
  <c r="AG92" i="7"/>
  <c r="CJ90" i="7"/>
  <c r="CJ87" i="7"/>
  <c r="CY83" i="7"/>
  <c r="CZ83" i="7" s="1"/>
  <c r="CX83" i="7"/>
  <c r="CV83" i="7"/>
  <c r="CR83" i="7"/>
  <c r="CQ83" i="7"/>
  <c r="CO83" i="7"/>
  <c r="CK83" i="7"/>
  <c r="CM83" i="7" s="1"/>
  <c r="CF83" i="7"/>
  <c r="BY83" i="7"/>
  <c r="BR83" i="7"/>
  <c r="BK83" i="7"/>
  <c r="BD83" i="7"/>
  <c r="AW83" i="7"/>
  <c r="AP83" i="7"/>
  <c r="AI83" i="7"/>
  <c r="AB83" i="7"/>
  <c r="U83" i="7"/>
  <c r="N83" i="7"/>
  <c r="G83" i="7"/>
  <c r="F83" i="7"/>
  <c r="CY82" i="7"/>
  <c r="CZ82" i="7" s="1"/>
  <c r="CX82" i="7"/>
  <c r="CV82" i="7"/>
  <c r="CR82" i="7"/>
  <c r="CQ82" i="7"/>
  <c r="CS82" i="7" s="1"/>
  <c r="CO82" i="7"/>
  <c r="CK82" i="7"/>
  <c r="CF82" i="7"/>
  <c r="CE82" i="7"/>
  <c r="BY82" i="7"/>
  <c r="BX82" i="7"/>
  <c r="BR82" i="7"/>
  <c r="BQ82" i="7"/>
  <c r="BK82" i="7"/>
  <c r="BJ82" i="7"/>
  <c r="BD82" i="7"/>
  <c r="BC82" i="7"/>
  <c r="AW82" i="7"/>
  <c r="AV82" i="7"/>
  <c r="AP82" i="7"/>
  <c r="AO82" i="7"/>
  <c r="AI82" i="7"/>
  <c r="AH82" i="7"/>
  <c r="AB82" i="7"/>
  <c r="AA82" i="7"/>
  <c r="U82" i="7"/>
  <c r="T82" i="7"/>
  <c r="N82" i="7"/>
  <c r="M82" i="7"/>
  <c r="G82" i="7"/>
  <c r="F82" i="7"/>
  <c r="CY80" i="7"/>
  <c r="CX80" i="7"/>
  <c r="CQ80" i="7"/>
  <c r="CH80" i="7"/>
  <c r="CF80" i="7"/>
  <c r="CE80" i="7"/>
  <c r="CA80" i="7"/>
  <c r="BY80" i="7"/>
  <c r="BT80" i="7"/>
  <c r="BP80" i="7"/>
  <c r="BR80" i="7" s="1"/>
  <c r="BI80" i="7"/>
  <c r="BJ80" i="7" s="1"/>
  <c r="BB80" i="7"/>
  <c r="BD80" i="7" s="1"/>
  <c r="AW80" i="7"/>
  <c r="AV80" i="7"/>
  <c r="AP80" i="7"/>
  <c r="AO80" i="7"/>
  <c r="AI80" i="7"/>
  <c r="AH80" i="7"/>
  <c r="Z80" i="7"/>
  <c r="U80" i="7"/>
  <c r="T80" i="7"/>
  <c r="N80" i="7"/>
  <c r="M80" i="7"/>
  <c r="G80" i="7"/>
  <c r="F80" i="7"/>
  <c r="CD79" i="7"/>
  <c r="CC79" i="7"/>
  <c r="BV79" i="7"/>
  <c r="BO79" i="7"/>
  <c r="BM79" i="7"/>
  <c r="BI79" i="7"/>
  <c r="BH79" i="7"/>
  <c r="BF79" i="7"/>
  <c r="BA79" i="7"/>
  <c r="AY79" i="7"/>
  <c r="AT79" i="7"/>
  <c r="AR79" i="7"/>
  <c r="AK79" i="7"/>
  <c r="AD79" i="7"/>
  <c r="W79" i="7"/>
  <c r="P79" i="7"/>
  <c r="I79" i="7"/>
  <c r="CY78" i="7"/>
  <c r="CZ78" i="7" s="1"/>
  <c r="CX78" i="7"/>
  <c r="CQ78" i="7"/>
  <c r="CH78" i="7"/>
  <c r="CH79" i="7" s="1"/>
  <c r="CF78" i="7"/>
  <c r="CE78" i="7"/>
  <c r="CA78" i="7"/>
  <c r="BW78" i="7"/>
  <c r="BW79" i="7" s="1"/>
  <c r="BT78" i="7"/>
  <c r="BR78" i="7"/>
  <c r="BQ78" i="7"/>
  <c r="BK78" i="7"/>
  <c r="BJ78" i="7"/>
  <c r="BD78" i="7"/>
  <c r="BC78" i="7"/>
  <c r="AW78" i="7"/>
  <c r="AV78" i="7"/>
  <c r="AP78" i="7"/>
  <c r="AO78" i="7"/>
  <c r="AI78" i="7"/>
  <c r="AH78" i="7"/>
  <c r="AB78" i="7"/>
  <c r="AA78" i="7"/>
  <c r="U78" i="7"/>
  <c r="T78" i="7"/>
  <c r="L78" i="7"/>
  <c r="G78" i="7"/>
  <c r="F78" i="7"/>
  <c r="CY77" i="7"/>
  <c r="CZ77" i="7" s="1"/>
  <c r="CX77" i="7"/>
  <c r="CQ77" i="7"/>
  <c r="CF77" i="7"/>
  <c r="CE77" i="7"/>
  <c r="CA77" i="7"/>
  <c r="BY77" i="7"/>
  <c r="BX77" i="7"/>
  <c r="BT77" i="7"/>
  <c r="BP77" i="7"/>
  <c r="BP76" i="7" s="1"/>
  <c r="BK77" i="7"/>
  <c r="BJ77" i="7"/>
  <c r="BB77" i="7"/>
  <c r="AW77" i="7"/>
  <c r="AV77" i="7"/>
  <c r="AP77" i="7"/>
  <c r="AO77" i="7"/>
  <c r="AI77" i="7"/>
  <c r="AH77" i="7"/>
  <c r="AB77" i="7"/>
  <c r="AA77" i="7"/>
  <c r="U77" i="7"/>
  <c r="T77" i="7"/>
  <c r="N77" i="7"/>
  <c r="M77" i="7"/>
  <c r="G77" i="7"/>
  <c r="F77" i="7"/>
  <c r="CO76" i="7"/>
  <c r="CC76" i="7"/>
  <c r="BV76" i="7"/>
  <c r="BO76" i="7"/>
  <c r="BI76" i="7"/>
  <c r="BH76" i="7"/>
  <c r="BB76" i="7"/>
  <c r="BA76" i="7"/>
  <c r="AU76" i="7"/>
  <c r="AU79" i="7" s="1"/>
  <c r="AT76" i="7"/>
  <c r="AN76" i="7"/>
  <c r="AN79" i="7" s="1"/>
  <c r="AM76" i="7"/>
  <c r="AM79" i="7" s="1"/>
  <c r="AG76" i="7"/>
  <c r="AG79" i="7" s="1"/>
  <c r="AF76" i="7"/>
  <c r="AF79" i="7" s="1"/>
  <c r="Z76" i="7"/>
  <c r="Z79" i="7" s="1"/>
  <c r="Y76" i="7"/>
  <c r="Y79" i="7" s="1"/>
  <c r="S76" i="7"/>
  <c r="S79" i="7" s="1"/>
  <c r="R76" i="7"/>
  <c r="R79" i="7" s="1"/>
  <c r="L76" i="7"/>
  <c r="L79" i="7" s="1"/>
  <c r="K76" i="7"/>
  <c r="K79" i="7" s="1"/>
  <c r="E76" i="7"/>
  <c r="E79" i="7" s="1"/>
  <c r="D76" i="7"/>
  <c r="CH75" i="7"/>
  <c r="CD75" i="7"/>
  <c r="CD81" i="7" s="1"/>
  <c r="CC75" i="7"/>
  <c r="CC81" i="7" s="1"/>
  <c r="BV75" i="7"/>
  <c r="BV81" i="7" s="1"/>
  <c r="BO75" i="7"/>
  <c r="BM75" i="7"/>
  <c r="BH75" i="7"/>
  <c r="BF75" i="7"/>
  <c r="BF81" i="7" s="1"/>
  <c r="BA75" i="7"/>
  <c r="AY75" i="7"/>
  <c r="AT75" i="7"/>
  <c r="AR75" i="7"/>
  <c r="AK75" i="7"/>
  <c r="AD75" i="7"/>
  <c r="W75" i="7"/>
  <c r="P75" i="7"/>
  <c r="P81" i="7" s="1"/>
  <c r="I75" i="7"/>
  <c r="CY74" i="7"/>
  <c r="CZ74" i="7" s="1"/>
  <c r="CX74" i="7"/>
  <c r="CQ74" i="7"/>
  <c r="CF74" i="7"/>
  <c r="CE74" i="7"/>
  <c r="BY74" i="7"/>
  <c r="BX74" i="7"/>
  <c r="BT74" i="7"/>
  <c r="CO74" i="7" s="1"/>
  <c r="BP74" i="7"/>
  <c r="CR74" i="7" s="1"/>
  <c r="BK74" i="7"/>
  <c r="BJ74" i="7"/>
  <c r="BD74" i="7"/>
  <c r="BC74" i="7"/>
  <c r="AW74" i="7"/>
  <c r="AV74" i="7"/>
  <c r="AP74" i="7"/>
  <c r="AO74" i="7"/>
  <c r="AI74" i="7"/>
  <c r="AH74" i="7"/>
  <c r="AB74" i="7"/>
  <c r="AA74" i="7"/>
  <c r="U74" i="7"/>
  <c r="T74" i="7"/>
  <c r="N74" i="7"/>
  <c r="M74" i="7"/>
  <c r="G74" i="7"/>
  <c r="F74" i="7"/>
  <c r="CY73" i="7"/>
  <c r="CZ73" i="7" s="1"/>
  <c r="CX73" i="7"/>
  <c r="CV73" i="7"/>
  <c r="CR73" i="7"/>
  <c r="CQ73" i="7"/>
  <c r="CO73" i="7"/>
  <c r="CK73" i="7"/>
  <c r="CF73" i="7"/>
  <c r="CE73" i="7"/>
  <c r="BY73" i="7"/>
  <c r="BX73" i="7"/>
  <c r="BR73" i="7"/>
  <c r="BQ73" i="7"/>
  <c r="BK73" i="7"/>
  <c r="BJ73" i="7"/>
  <c r="BD73" i="7"/>
  <c r="BC73" i="7"/>
  <c r="AW73" i="7"/>
  <c r="AV73" i="7"/>
  <c r="AP73" i="7"/>
  <c r="AO73" i="7"/>
  <c r="AI73" i="7"/>
  <c r="AH73" i="7"/>
  <c r="AB73" i="7"/>
  <c r="AA73" i="7"/>
  <c r="U73" i="7"/>
  <c r="T73" i="7"/>
  <c r="N73" i="7"/>
  <c r="M73" i="7"/>
  <c r="G73" i="7"/>
  <c r="F73" i="7"/>
  <c r="CY72" i="7"/>
  <c r="CZ72" i="7" s="1"/>
  <c r="CX72" i="7"/>
  <c r="CQ72" i="7"/>
  <c r="CF72" i="7"/>
  <c r="CE72" i="7"/>
  <c r="CA72" i="7"/>
  <c r="BY72" i="7"/>
  <c r="BX72" i="7"/>
  <c r="BT72" i="7"/>
  <c r="BR72" i="7"/>
  <c r="BQ72" i="7"/>
  <c r="BK72" i="7"/>
  <c r="BJ72" i="7"/>
  <c r="BD72" i="7"/>
  <c r="BC72" i="7"/>
  <c r="AU72" i="7"/>
  <c r="AV72" i="7" s="1"/>
  <c r="AP72" i="7"/>
  <c r="AO72" i="7"/>
  <c r="AI72" i="7"/>
  <c r="AH72" i="7"/>
  <c r="Z72" i="7"/>
  <c r="U72" i="7"/>
  <c r="T72" i="7"/>
  <c r="N72" i="7"/>
  <c r="M72" i="7"/>
  <c r="G72" i="7"/>
  <c r="F72" i="7"/>
  <c r="CY71" i="7"/>
  <c r="CZ71" i="7" s="1"/>
  <c r="CX71" i="7"/>
  <c r="CQ71" i="7"/>
  <c r="CF71" i="7"/>
  <c r="CE71" i="7"/>
  <c r="CA71" i="7"/>
  <c r="BY71" i="7"/>
  <c r="BX71" i="7"/>
  <c r="BT71" i="7"/>
  <c r="BR71" i="7"/>
  <c r="BQ71" i="7"/>
  <c r="BK71" i="7"/>
  <c r="BJ71" i="7"/>
  <c r="BD71" i="7"/>
  <c r="BC71" i="7"/>
  <c r="AU71" i="7"/>
  <c r="AV71" i="7" s="1"/>
  <c r="AN71" i="7"/>
  <c r="AP71" i="7" s="1"/>
  <c r="AG71" i="7"/>
  <c r="AH71" i="7" s="1"/>
  <c r="Z71" i="7"/>
  <c r="AB71" i="7" s="1"/>
  <c r="S71" i="7"/>
  <c r="N71" i="7"/>
  <c r="M71" i="7"/>
  <c r="G71" i="7"/>
  <c r="F71" i="7"/>
  <c r="CY70" i="7"/>
  <c r="CZ70" i="7" s="1"/>
  <c r="CX70" i="7"/>
  <c r="CQ70" i="7"/>
  <c r="CF70" i="7"/>
  <c r="CE70" i="7"/>
  <c r="BY70" i="7"/>
  <c r="BX70" i="7"/>
  <c r="BT70" i="7"/>
  <c r="CV70" i="7" s="1"/>
  <c r="BR70" i="7"/>
  <c r="BQ70" i="7"/>
  <c r="BI70" i="7"/>
  <c r="BD70" i="7"/>
  <c r="BC70" i="7"/>
  <c r="AU70" i="7"/>
  <c r="AW70" i="7" s="1"/>
  <c r="AP70" i="7"/>
  <c r="AO70" i="7"/>
  <c r="AI70" i="7"/>
  <c r="AH70" i="7"/>
  <c r="Z70" i="7"/>
  <c r="AA70" i="7" s="1"/>
  <c r="U70" i="7"/>
  <c r="T70" i="7"/>
  <c r="L70" i="7"/>
  <c r="G70" i="7"/>
  <c r="F70" i="7"/>
  <c r="CY69" i="7"/>
  <c r="CZ69" i="7" s="1"/>
  <c r="CX69" i="7"/>
  <c r="CQ69" i="7"/>
  <c r="CF69" i="7"/>
  <c r="CE69" i="7"/>
  <c r="CA69" i="7"/>
  <c r="BY69" i="7"/>
  <c r="BX69" i="7"/>
  <c r="BT69" i="7"/>
  <c r="BR69" i="7"/>
  <c r="BQ69" i="7"/>
  <c r="BK69" i="7"/>
  <c r="BJ69" i="7"/>
  <c r="BD69" i="7"/>
  <c r="BC69" i="7"/>
  <c r="AU69" i="7"/>
  <c r="AV69" i="7" s="1"/>
  <c r="AP69" i="7"/>
  <c r="AO69" i="7"/>
  <c r="AI69" i="7"/>
  <c r="AH69" i="7"/>
  <c r="Z69" i="7"/>
  <c r="AB69" i="7" s="1"/>
  <c r="U69" i="7"/>
  <c r="T69" i="7"/>
  <c r="L69" i="7"/>
  <c r="CK69" i="7" s="1"/>
  <c r="CL69" i="7" s="1"/>
  <c r="G69" i="7"/>
  <c r="F69" i="7"/>
  <c r="CY68" i="7"/>
  <c r="CZ68" i="7" s="1"/>
  <c r="CX68" i="7"/>
  <c r="CQ68" i="7"/>
  <c r="CF68" i="7"/>
  <c r="CE68" i="7"/>
  <c r="CA68" i="7"/>
  <c r="BY68" i="7"/>
  <c r="BX68" i="7"/>
  <c r="BT68" i="7"/>
  <c r="BR68" i="7"/>
  <c r="BQ68" i="7"/>
  <c r="BK68" i="7"/>
  <c r="BJ68" i="7"/>
  <c r="BD68" i="7"/>
  <c r="BC68" i="7"/>
  <c r="AU68" i="7"/>
  <c r="AW68" i="7" s="1"/>
  <c r="AP68" i="7"/>
  <c r="AO68" i="7"/>
  <c r="AG68" i="7"/>
  <c r="AH68" i="7" s="1"/>
  <c r="Z68" i="7"/>
  <c r="AB68" i="7" s="1"/>
  <c r="U68" i="7"/>
  <c r="T68" i="7"/>
  <c r="L68" i="7"/>
  <c r="G68" i="7"/>
  <c r="F68" i="7"/>
  <c r="CY67" i="7"/>
  <c r="CZ67" i="7" s="1"/>
  <c r="CX67" i="7"/>
  <c r="CQ67" i="7"/>
  <c r="CF67" i="7"/>
  <c r="CE67" i="7"/>
  <c r="CA67" i="7"/>
  <c r="BY67" i="7"/>
  <c r="BX67" i="7"/>
  <c r="BT67" i="7"/>
  <c r="BP67" i="7"/>
  <c r="BR67" i="7" s="1"/>
  <c r="BK67" i="7"/>
  <c r="BJ67" i="7"/>
  <c r="BD67" i="7"/>
  <c r="BC67" i="7"/>
  <c r="AU67" i="7"/>
  <c r="AW67" i="7" s="1"/>
  <c r="AN67" i="7"/>
  <c r="AP67" i="7" s="1"/>
  <c r="AI67" i="7"/>
  <c r="AH67" i="7"/>
  <c r="Z67" i="7"/>
  <c r="AA67" i="7" s="1"/>
  <c r="U67" i="7"/>
  <c r="T67" i="7"/>
  <c r="L67" i="7"/>
  <c r="G67" i="7"/>
  <c r="F67" i="7"/>
  <c r="CY66" i="7"/>
  <c r="CZ66" i="7" s="1"/>
  <c r="CX66" i="7"/>
  <c r="CQ66" i="7"/>
  <c r="CF66" i="7"/>
  <c r="CE66" i="7"/>
  <c r="CA66" i="7"/>
  <c r="BW66" i="7"/>
  <c r="BY66" i="7" s="1"/>
  <c r="BT66" i="7"/>
  <c r="BP66" i="7"/>
  <c r="BR66" i="7" s="1"/>
  <c r="BK66" i="7"/>
  <c r="BJ66" i="7"/>
  <c r="BB66" i="7"/>
  <c r="AU66" i="7"/>
  <c r="AW66" i="7" s="1"/>
  <c r="AP66" i="7"/>
  <c r="AO66" i="7"/>
  <c r="AG66" i="7"/>
  <c r="Z66" i="7"/>
  <c r="AB66" i="7" s="1"/>
  <c r="U66" i="7"/>
  <c r="T66" i="7"/>
  <c r="L66" i="7"/>
  <c r="G66" i="7"/>
  <c r="F66" i="7"/>
  <c r="CY65" i="7"/>
  <c r="CZ65" i="7" s="1"/>
  <c r="CX65" i="7"/>
  <c r="CQ65" i="7"/>
  <c r="CF65" i="7"/>
  <c r="CE65" i="7"/>
  <c r="CA65" i="7"/>
  <c r="BW65" i="7"/>
  <c r="BT65" i="7"/>
  <c r="BP65" i="7"/>
  <c r="BR65" i="7" s="1"/>
  <c r="BK65" i="7"/>
  <c r="BJ65" i="7"/>
  <c r="BD65" i="7"/>
  <c r="BC65" i="7"/>
  <c r="AU65" i="7"/>
  <c r="AW65" i="7" s="1"/>
  <c r="AP65" i="7"/>
  <c r="AO65" i="7"/>
  <c r="AI65" i="7"/>
  <c r="AH65" i="7"/>
  <c r="Z65" i="7"/>
  <c r="AB65" i="7" s="1"/>
  <c r="U65" i="7"/>
  <c r="T65" i="7"/>
  <c r="L65" i="7"/>
  <c r="M65" i="7" s="1"/>
  <c r="G65" i="7"/>
  <c r="F65" i="7"/>
  <c r="CC64" i="7"/>
  <c r="BV64" i="7"/>
  <c r="BO64" i="7"/>
  <c r="BH64" i="7"/>
  <c r="BB64" i="7"/>
  <c r="BA64" i="7"/>
  <c r="AT64" i="7"/>
  <c r="AM64" i="7"/>
  <c r="AM75" i="7" s="1"/>
  <c r="AF64" i="7"/>
  <c r="AF75" i="7" s="1"/>
  <c r="Y64" i="7"/>
  <c r="Y75" i="7" s="1"/>
  <c r="R64" i="7"/>
  <c r="R75" i="7" s="1"/>
  <c r="K64" i="7"/>
  <c r="K75" i="7" s="1"/>
  <c r="E64" i="7"/>
  <c r="E75" i="7" s="1"/>
  <c r="D64" i="7"/>
  <c r="CD62" i="7"/>
  <c r="CC62" i="7"/>
  <c r="BW62" i="7"/>
  <c r="BV62" i="7"/>
  <c r="BO62" i="7"/>
  <c r="BM62" i="7"/>
  <c r="BH62" i="7"/>
  <c r="BF62" i="7"/>
  <c r="BA62" i="7"/>
  <c r="AY62" i="7"/>
  <c r="AT62" i="7"/>
  <c r="AR62" i="7"/>
  <c r="AM62" i="7"/>
  <c r="AK62" i="7"/>
  <c r="AF62" i="7"/>
  <c r="AD62" i="7"/>
  <c r="Y62" i="7"/>
  <c r="W62" i="7"/>
  <c r="R62" i="7"/>
  <c r="K62" i="7"/>
  <c r="I62" i="7"/>
  <c r="E62" i="7"/>
  <c r="D62" i="7"/>
  <c r="CY61" i="7"/>
  <c r="CZ61" i="7" s="1"/>
  <c r="CX61" i="7"/>
  <c r="CQ61" i="7"/>
  <c r="CH61" i="7"/>
  <c r="CH62" i="7" s="1"/>
  <c r="CF61" i="7"/>
  <c r="CE61" i="7"/>
  <c r="CA61" i="7"/>
  <c r="CA62" i="7" s="1"/>
  <c r="BX61" i="7"/>
  <c r="BY61" i="7"/>
  <c r="BT61" i="7"/>
  <c r="BP61" i="7"/>
  <c r="BP62" i="7" s="1"/>
  <c r="BI61" i="7"/>
  <c r="BJ61" i="7" s="1"/>
  <c r="BB61" i="7"/>
  <c r="BB62" i="7" s="1"/>
  <c r="AU61" i="7"/>
  <c r="AV61" i="7" s="1"/>
  <c r="AN61" i="7"/>
  <c r="AN62" i="7" s="1"/>
  <c r="AG61" i="7"/>
  <c r="AH61" i="7" s="1"/>
  <c r="Z61" i="7"/>
  <c r="Z62" i="7" s="1"/>
  <c r="S61" i="7"/>
  <c r="T61" i="7" s="1"/>
  <c r="L61" i="7"/>
  <c r="G61" i="7"/>
  <c r="F61" i="7"/>
  <c r="CY60" i="7"/>
  <c r="CZ60" i="7" s="1"/>
  <c r="DA60" i="7" s="1"/>
  <c r="CX60" i="7"/>
  <c r="CK60" i="7"/>
  <c r="CD59" i="7"/>
  <c r="CC59" i="7"/>
  <c r="BV59" i="7"/>
  <c r="BX59" i="7" s="1"/>
  <c r="BO59" i="7"/>
  <c r="BM59" i="7"/>
  <c r="BH59" i="7"/>
  <c r="BF59" i="7"/>
  <c r="BA59" i="7"/>
  <c r="AY59" i="7"/>
  <c r="AT59" i="7"/>
  <c r="AR59" i="7"/>
  <c r="AM59" i="7"/>
  <c r="AK59" i="7"/>
  <c r="AF59" i="7"/>
  <c r="AD59" i="7"/>
  <c r="Y59" i="7"/>
  <c r="W59" i="7"/>
  <c r="R59" i="7"/>
  <c r="K59" i="7"/>
  <c r="I59" i="7"/>
  <c r="D59" i="7"/>
  <c r="CY58" i="7"/>
  <c r="CZ58" i="7" s="1"/>
  <c r="CX58" i="7"/>
  <c r="CQ58" i="7"/>
  <c r="CH58" i="7"/>
  <c r="CH59" i="7" s="1"/>
  <c r="CF58" i="7"/>
  <c r="CE58" i="7"/>
  <c r="CA58" i="7"/>
  <c r="CA59" i="7" s="1"/>
  <c r="BY58" i="7"/>
  <c r="BX58" i="7"/>
  <c r="BT58" i="7"/>
  <c r="BP58" i="7"/>
  <c r="BP59" i="7" s="1"/>
  <c r="BI58" i="7"/>
  <c r="BK58" i="7" s="1"/>
  <c r="BB58" i="7"/>
  <c r="BB59" i="7" s="1"/>
  <c r="AU58" i="7"/>
  <c r="AW58" i="7" s="1"/>
  <c r="AN58" i="7"/>
  <c r="AN59" i="7" s="1"/>
  <c r="AG58" i="7"/>
  <c r="AI58" i="7" s="1"/>
  <c r="Z58" i="7"/>
  <c r="Z59" i="7" s="1"/>
  <c r="S58" i="7"/>
  <c r="U58" i="7" s="1"/>
  <c r="L58" i="7"/>
  <c r="M58" i="7" s="1"/>
  <c r="E58" i="7"/>
  <c r="E59" i="7" s="1"/>
  <c r="CY57" i="7"/>
  <c r="CZ57" i="7" s="1"/>
  <c r="DA57" i="7" s="1"/>
  <c r="CX57" i="7"/>
  <c r="CK57" i="7"/>
  <c r="AM56" i="7"/>
  <c r="AF56" i="7"/>
  <c r="R56" i="7"/>
  <c r="K56" i="7"/>
  <c r="CY55" i="7"/>
  <c r="CZ55" i="7" s="1"/>
  <c r="CX55" i="7"/>
  <c r="CQ55" i="7"/>
  <c r="CH55" i="7"/>
  <c r="CF55" i="7"/>
  <c r="CE55" i="7"/>
  <c r="CA55" i="7"/>
  <c r="BW55" i="7"/>
  <c r="BX55" i="7" s="1"/>
  <c r="BT55" i="7"/>
  <c r="BT54" i="7" s="1"/>
  <c r="BP55" i="7"/>
  <c r="BI55" i="7"/>
  <c r="BK55" i="7" s="1"/>
  <c r="BD55" i="7"/>
  <c r="BC55" i="7"/>
  <c r="AW55" i="7"/>
  <c r="AV55" i="7"/>
  <c r="AN55" i="7"/>
  <c r="AG55" i="7"/>
  <c r="AI55" i="7" s="1"/>
  <c r="Z55" i="7"/>
  <c r="Z54" i="7" s="1"/>
  <c r="S55" i="7"/>
  <c r="T55" i="7" s="1"/>
  <c r="N55" i="7"/>
  <c r="M55" i="7"/>
  <c r="G55" i="7"/>
  <c r="F55" i="7"/>
  <c r="CC54" i="7"/>
  <c r="CA54" i="7"/>
  <c r="BV54" i="7"/>
  <c r="BO54" i="7"/>
  <c r="BM54" i="7"/>
  <c r="BH54" i="7"/>
  <c r="BF54" i="7"/>
  <c r="BB54" i="7"/>
  <c r="BA54" i="7"/>
  <c r="AY54" i="7"/>
  <c r="AU54" i="7"/>
  <c r="AR54" i="7"/>
  <c r="AK54" i="7"/>
  <c r="AD54" i="7"/>
  <c r="Y54" i="7"/>
  <c r="W54" i="7"/>
  <c r="P54" i="7"/>
  <c r="L54" i="7"/>
  <c r="M54" i="7" s="1"/>
  <c r="I54" i="7"/>
  <c r="E54" i="7"/>
  <c r="D54" i="7"/>
  <c r="CY53" i="7"/>
  <c r="CZ53" i="7" s="1"/>
  <c r="CX53" i="7"/>
  <c r="CQ53" i="7"/>
  <c r="CF53" i="7"/>
  <c r="CE53" i="7"/>
  <c r="BW53" i="7"/>
  <c r="BY53" i="7" s="1"/>
  <c r="BT53" i="7"/>
  <c r="CV53" i="7" s="1"/>
  <c r="BP53" i="7"/>
  <c r="BR53" i="7" s="1"/>
  <c r="BK53" i="7"/>
  <c r="BJ53" i="7"/>
  <c r="BD53" i="7"/>
  <c r="BC53" i="7"/>
  <c r="AW53" i="7"/>
  <c r="AV53" i="7"/>
  <c r="AP53" i="7"/>
  <c r="AO53" i="7"/>
  <c r="AI53" i="7"/>
  <c r="AH53" i="7"/>
  <c r="Z53" i="7"/>
  <c r="U53" i="7"/>
  <c r="T53" i="7"/>
  <c r="N53" i="7"/>
  <c r="M53" i="7"/>
  <c r="G53" i="7"/>
  <c r="F53" i="7"/>
  <c r="CH52" i="7"/>
  <c r="CC52" i="7"/>
  <c r="CE52" i="7" s="1"/>
  <c r="CA52" i="7"/>
  <c r="BV52" i="7"/>
  <c r="BO52" i="7"/>
  <c r="BM52" i="7"/>
  <c r="BI52" i="7"/>
  <c r="BH52" i="7"/>
  <c r="BF52" i="7"/>
  <c r="BA52" i="7"/>
  <c r="BD52" i="7" s="1"/>
  <c r="AY52" i="7"/>
  <c r="AU52" i="7"/>
  <c r="AW52" i="7" s="1"/>
  <c r="AR52" i="7"/>
  <c r="AN52" i="7"/>
  <c r="AP52" i="7" s="1"/>
  <c r="AK52" i="7"/>
  <c r="AG52" i="7"/>
  <c r="AI52" i="7" s="1"/>
  <c r="AD52" i="7"/>
  <c r="Y52" i="7"/>
  <c r="W52" i="7"/>
  <c r="S52" i="7"/>
  <c r="T52" i="7" s="1"/>
  <c r="P52" i="7"/>
  <c r="L52" i="7"/>
  <c r="M52" i="7" s="1"/>
  <c r="I52" i="7"/>
  <c r="E52" i="7"/>
  <c r="D52" i="7"/>
  <c r="CY51" i="7"/>
  <c r="CZ51" i="7" s="1"/>
  <c r="CX51" i="7"/>
  <c r="CV51" i="7"/>
  <c r="CQ51" i="7"/>
  <c r="CO51" i="7"/>
  <c r="CF51" i="7"/>
  <c r="CE51" i="7"/>
  <c r="BW51" i="7"/>
  <c r="BX51" i="7" s="1"/>
  <c r="BP51" i="7"/>
  <c r="BR51" i="7" s="1"/>
  <c r="BI51" i="7"/>
  <c r="BJ51" i="7" s="1"/>
  <c r="BD51" i="7"/>
  <c r="BC51" i="7"/>
  <c r="AW51" i="7"/>
  <c r="AV51" i="7"/>
  <c r="AP51" i="7"/>
  <c r="AO51" i="7"/>
  <c r="AI51" i="7"/>
  <c r="AH51" i="7"/>
  <c r="AB51" i="7"/>
  <c r="AA51" i="7"/>
  <c r="U51" i="7"/>
  <c r="T51" i="7"/>
  <c r="L51" i="7"/>
  <c r="N51" i="7" s="1"/>
  <c r="E51" i="7"/>
  <c r="CH50" i="7"/>
  <c r="CC50" i="7"/>
  <c r="CE50" i="7" s="1"/>
  <c r="CA50" i="7"/>
  <c r="BV50" i="7"/>
  <c r="BT50" i="7"/>
  <c r="BO50" i="7"/>
  <c r="BM50" i="7"/>
  <c r="BH50" i="7"/>
  <c r="BF50" i="7"/>
  <c r="BA50" i="7"/>
  <c r="BD50" i="7" s="1"/>
  <c r="AY50" i="7"/>
  <c r="AU50" i="7"/>
  <c r="AW50" i="7" s="1"/>
  <c r="AR50" i="7"/>
  <c r="AN50" i="7"/>
  <c r="AP50" i="7" s="1"/>
  <c r="AK50" i="7"/>
  <c r="AG50" i="7"/>
  <c r="AI50" i="7" s="1"/>
  <c r="AD50" i="7"/>
  <c r="Z50" i="7"/>
  <c r="Y50" i="7"/>
  <c r="W50" i="7"/>
  <c r="S50" i="7"/>
  <c r="T50" i="7" s="1"/>
  <c r="P50" i="7"/>
  <c r="I50" i="7"/>
  <c r="D50" i="7"/>
  <c r="CY49" i="7"/>
  <c r="CZ49" i="7" s="1"/>
  <c r="CX49" i="7"/>
  <c r="CQ49" i="7"/>
  <c r="CH49" i="7"/>
  <c r="CF49" i="7"/>
  <c r="CE49" i="7"/>
  <c r="CA49" i="7"/>
  <c r="BT49" i="7"/>
  <c r="BP49" i="7"/>
  <c r="BQ49" i="7" s="1"/>
  <c r="BI49" i="7"/>
  <c r="BK49" i="7" s="1"/>
  <c r="BB49" i="7"/>
  <c r="BC49" i="7" s="1"/>
  <c r="AU49" i="7"/>
  <c r="AW49" i="7" s="1"/>
  <c r="AN49" i="7"/>
  <c r="AO49" i="7" s="1"/>
  <c r="AG49" i="7"/>
  <c r="AI49" i="7" s="1"/>
  <c r="Z49" i="7"/>
  <c r="AA49" i="7" s="1"/>
  <c r="S49" i="7"/>
  <c r="U49" i="7" s="1"/>
  <c r="L49" i="7"/>
  <c r="N49" i="7" s="1"/>
  <c r="G49" i="7"/>
  <c r="F49" i="7"/>
  <c r="CY48" i="7"/>
  <c r="CZ48" i="7" s="1"/>
  <c r="CX48" i="7"/>
  <c r="CV48" i="7"/>
  <c r="CR48" i="7"/>
  <c r="CQ48" i="7"/>
  <c r="CO48" i="7"/>
  <c r="CK48" i="7"/>
  <c r="CL48" i="7" s="1"/>
  <c r="CF48" i="7"/>
  <c r="CE48" i="7"/>
  <c r="BY48" i="7"/>
  <c r="BX48" i="7"/>
  <c r="BR48" i="7"/>
  <c r="BQ48" i="7"/>
  <c r="BK48" i="7"/>
  <c r="BJ48" i="7"/>
  <c r="BD48" i="7"/>
  <c r="BC48" i="7"/>
  <c r="AW48" i="7"/>
  <c r="AV48" i="7"/>
  <c r="AP48" i="7"/>
  <c r="AO48" i="7"/>
  <c r="AI48" i="7"/>
  <c r="AH48" i="7"/>
  <c r="AB48" i="7"/>
  <c r="AA48" i="7"/>
  <c r="U48" i="7"/>
  <c r="T48" i="7"/>
  <c r="N48" i="7"/>
  <c r="M48" i="7"/>
  <c r="G48" i="7"/>
  <c r="F48" i="7"/>
  <c r="CY47" i="7"/>
  <c r="CZ47" i="7" s="1"/>
  <c r="CX47" i="7"/>
  <c r="CQ47" i="7"/>
  <c r="CH47" i="7"/>
  <c r="CF47" i="7"/>
  <c r="CE47" i="7"/>
  <c r="BW47" i="7"/>
  <c r="BX47" i="7" s="1"/>
  <c r="BT47" i="7"/>
  <c r="BP47" i="7"/>
  <c r="BQ47" i="7" s="1"/>
  <c r="BK47" i="7"/>
  <c r="BJ47" i="7"/>
  <c r="BD47" i="7"/>
  <c r="BC47" i="7"/>
  <c r="AU47" i="7"/>
  <c r="AW47" i="7" s="1"/>
  <c r="AP47" i="7"/>
  <c r="AO47" i="7"/>
  <c r="AG47" i="7"/>
  <c r="AH47" i="7" s="1"/>
  <c r="Z47" i="7"/>
  <c r="AB47" i="7" s="1"/>
  <c r="U47" i="7"/>
  <c r="T47" i="7"/>
  <c r="L47" i="7"/>
  <c r="N47" i="7" s="1"/>
  <c r="G47" i="7"/>
  <c r="F47" i="7"/>
  <c r="CY46" i="7"/>
  <c r="CZ46" i="7" s="1"/>
  <c r="CX46" i="7"/>
  <c r="CV46" i="7"/>
  <c r="CR46" i="7"/>
  <c r="CQ46" i="7"/>
  <c r="CO46" i="7"/>
  <c r="CK46" i="7"/>
  <c r="CL46" i="7" s="1"/>
  <c r="CF46" i="7"/>
  <c r="CE46" i="7"/>
  <c r="BY46" i="7"/>
  <c r="BX46" i="7"/>
  <c r="BR46" i="7"/>
  <c r="BQ46" i="7"/>
  <c r="BK46" i="7"/>
  <c r="BJ46" i="7"/>
  <c r="BD46" i="7"/>
  <c r="BC46" i="7"/>
  <c r="AW46" i="7"/>
  <c r="AV46" i="7"/>
  <c r="AP46" i="7"/>
  <c r="AO46" i="7"/>
  <c r="AI46" i="7"/>
  <c r="AH46" i="7"/>
  <c r="AB46" i="7"/>
  <c r="AA46" i="7"/>
  <c r="U46" i="7"/>
  <c r="T46" i="7"/>
  <c r="N46" i="7"/>
  <c r="M46" i="7"/>
  <c r="G46" i="7"/>
  <c r="F46" i="7"/>
  <c r="CY45" i="7"/>
  <c r="CZ45" i="7" s="1"/>
  <c r="CX45" i="7"/>
  <c r="CQ45" i="7"/>
  <c r="CH45" i="7"/>
  <c r="CF45" i="7"/>
  <c r="CE45" i="7"/>
  <c r="CA45" i="7"/>
  <c r="BW45" i="7"/>
  <c r="BY45" i="7" s="1"/>
  <c r="BT45" i="7"/>
  <c r="BP45" i="7"/>
  <c r="BR45" i="7" s="1"/>
  <c r="BI45" i="7"/>
  <c r="BJ45" i="7" s="1"/>
  <c r="BB45" i="7"/>
  <c r="BD45" i="7" s="1"/>
  <c r="AU45" i="7"/>
  <c r="AV45" i="7" s="1"/>
  <c r="AN45" i="7"/>
  <c r="AP45" i="7" s="1"/>
  <c r="AG45" i="7"/>
  <c r="AH45" i="7" s="1"/>
  <c r="Z45" i="7"/>
  <c r="AB45" i="7" s="1"/>
  <c r="S45" i="7"/>
  <c r="T45" i="7" s="1"/>
  <c r="L45" i="7"/>
  <c r="N45" i="7" s="1"/>
  <c r="E45" i="7"/>
  <c r="CY44" i="7"/>
  <c r="CZ44" i="7" s="1"/>
  <c r="CX44" i="7"/>
  <c r="CQ44" i="7"/>
  <c r="CH44" i="7"/>
  <c r="CF44" i="7"/>
  <c r="CE44" i="7"/>
  <c r="CA44" i="7"/>
  <c r="BW44" i="7"/>
  <c r="BY44" i="7" s="1"/>
  <c r="BT44" i="7"/>
  <c r="BP44" i="7"/>
  <c r="BR44" i="7" s="1"/>
  <c r="BK44" i="7"/>
  <c r="BJ44" i="7"/>
  <c r="BB44" i="7"/>
  <c r="BC44" i="7" s="1"/>
  <c r="AU44" i="7"/>
  <c r="AW44" i="7" s="1"/>
  <c r="AN44" i="7"/>
  <c r="AO44" i="7" s="1"/>
  <c r="AI44" i="7"/>
  <c r="AH44" i="7"/>
  <c r="Z44" i="7"/>
  <c r="AB44" i="7" s="1"/>
  <c r="S44" i="7"/>
  <c r="T44" i="7" s="1"/>
  <c r="L44" i="7"/>
  <c r="N44" i="7" s="1"/>
  <c r="E44" i="7"/>
  <c r="CY43" i="7"/>
  <c r="CZ43" i="7" s="1"/>
  <c r="CX43" i="7"/>
  <c r="CQ43" i="7"/>
  <c r="CH43" i="7"/>
  <c r="CF43" i="7"/>
  <c r="CE43" i="7"/>
  <c r="CA43" i="7"/>
  <c r="BT43" i="7"/>
  <c r="BP43" i="7"/>
  <c r="BR43" i="7" s="1"/>
  <c r="BI43" i="7"/>
  <c r="BJ43" i="7" s="1"/>
  <c r="BB43" i="7"/>
  <c r="BD43" i="7" s="1"/>
  <c r="AU43" i="7"/>
  <c r="AV43" i="7" s="1"/>
  <c r="AN43" i="7"/>
  <c r="AP43" i="7" s="1"/>
  <c r="AG43" i="7"/>
  <c r="AH43" i="7" s="1"/>
  <c r="Z43" i="7"/>
  <c r="AB43" i="7" s="1"/>
  <c r="S43" i="7"/>
  <c r="T43" i="7" s="1"/>
  <c r="L43" i="7"/>
  <c r="N43" i="7" s="1"/>
  <c r="E43" i="7"/>
  <c r="CY42" i="7"/>
  <c r="CZ42" i="7" s="1"/>
  <c r="CX42" i="7"/>
  <c r="CV42" i="7"/>
  <c r="CQ42" i="7"/>
  <c r="CO42" i="7"/>
  <c r="CF42" i="7"/>
  <c r="CE42" i="7"/>
  <c r="BW42" i="7"/>
  <c r="BY42" i="7" s="1"/>
  <c r="BP42" i="7"/>
  <c r="BQ42" i="7" s="1"/>
  <c r="BK42" i="7"/>
  <c r="BJ42" i="7"/>
  <c r="BD42" i="7"/>
  <c r="BC42" i="7"/>
  <c r="AW42" i="7"/>
  <c r="AV42" i="7"/>
  <c r="AP42" i="7"/>
  <c r="AO42" i="7"/>
  <c r="AI42" i="7"/>
  <c r="AH42" i="7"/>
  <c r="AB42" i="7"/>
  <c r="AA42" i="7"/>
  <c r="U42" i="7"/>
  <c r="T42" i="7"/>
  <c r="L42" i="7"/>
  <c r="G42" i="7"/>
  <c r="F42" i="7"/>
  <c r="CY41" i="7"/>
  <c r="CZ41" i="7" s="1"/>
  <c r="CX41" i="7"/>
  <c r="CQ41" i="7"/>
  <c r="CH41" i="7"/>
  <c r="CF41" i="7"/>
  <c r="CE41" i="7"/>
  <c r="CA41" i="7"/>
  <c r="BW41" i="7"/>
  <c r="BX41" i="7" s="1"/>
  <c r="BT41" i="7"/>
  <c r="BP41" i="7"/>
  <c r="BQ41" i="7" s="1"/>
  <c r="BI41" i="7"/>
  <c r="BK41" i="7" s="1"/>
  <c r="BB41" i="7"/>
  <c r="BC41" i="7" s="1"/>
  <c r="AU41" i="7"/>
  <c r="AW41" i="7" s="1"/>
  <c r="AN41" i="7"/>
  <c r="AG41" i="7"/>
  <c r="AI41" i="7" s="1"/>
  <c r="Z41" i="7"/>
  <c r="S41" i="7"/>
  <c r="U41" i="7" s="1"/>
  <c r="L41" i="7"/>
  <c r="M41" i="7" s="1"/>
  <c r="E41" i="7"/>
  <c r="CY40" i="7"/>
  <c r="CZ40" i="7" s="1"/>
  <c r="CX40" i="7"/>
  <c r="CQ40" i="7"/>
  <c r="CH40" i="7"/>
  <c r="CF40" i="7"/>
  <c r="CE40" i="7"/>
  <c r="BX40" i="7"/>
  <c r="BY40" i="7"/>
  <c r="BP40" i="7"/>
  <c r="BK40" i="7"/>
  <c r="BJ40" i="7"/>
  <c r="BD40" i="7"/>
  <c r="BC40" i="7"/>
  <c r="AW40" i="7"/>
  <c r="AV40" i="7"/>
  <c r="AP40" i="7"/>
  <c r="AO40" i="7"/>
  <c r="AI40" i="7"/>
  <c r="AH40" i="7"/>
  <c r="Z40" i="7"/>
  <c r="AB40" i="7" s="1"/>
  <c r="U40" i="7"/>
  <c r="T40" i="7"/>
  <c r="L40" i="7"/>
  <c r="G40" i="7"/>
  <c r="F40" i="7"/>
  <c r="CY39" i="7"/>
  <c r="CZ39" i="7" s="1"/>
  <c r="CX39" i="7"/>
  <c r="CV39" i="7"/>
  <c r="CR39" i="7"/>
  <c r="CQ39" i="7"/>
  <c r="CO39" i="7"/>
  <c r="CK39" i="7"/>
  <c r="CL39" i="7" s="1"/>
  <c r="CF39" i="7"/>
  <c r="CE39" i="7"/>
  <c r="BY39" i="7"/>
  <c r="BX39" i="7"/>
  <c r="BR39" i="7"/>
  <c r="BQ39" i="7"/>
  <c r="BK39" i="7"/>
  <c r="BJ39" i="7"/>
  <c r="BD39" i="7"/>
  <c r="BC39" i="7"/>
  <c r="AW39" i="7"/>
  <c r="AV39" i="7"/>
  <c r="AP39" i="7"/>
  <c r="AO39" i="7"/>
  <c r="AI39" i="7"/>
  <c r="AH39" i="7"/>
  <c r="AB39" i="7"/>
  <c r="AA39" i="7"/>
  <c r="U39" i="7"/>
  <c r="T39" i="7"/>
  <c r="N39" i="7"/>
  <c r="M39" i="7"/>
  <c r="G39" i="7"/>
  <c r="F39" i="7"/>
  <c r="CY38" i="7"/>
  <c r="CZ38" i="7" s="1"/>
  <c r="CX38" i="7"/>
  <c r="CQ38" i="7"/>
  <c r="CH38" i="7"/>
  <c r="CF38" i="7"/>
  <c r="CE38" i="7"/>
  <c r="CA38" i="7"/>
  <c r="BT38" i="7"/>
  <c r="BP38" i="7"/>
  <c r="BR38" i="7" s="1"/>
  <c r="BI38" i="7"/>
  <c r="BJ38" i="7" s="1"/>
  <c r="BB38" i="7"/>
  <c r="BD38" i="7" s="1"/>
  <c r="AU38" i="7"/>
  <c r="AV38" i="7" s="1"/>
  <c r="AN38" i="7"/>
  <c r="AP38" i="7" s="1"/>
  <c r="AG38" i="7"/>
  <c r="AH38" i="7" s="1"/>
  <c r="Z38" i="7"/>
  <c r="AB38" i="7" s="1"/>
  <c r="S38" i="7"/>
  <c r="T38" i="7" s="1"/>
  <c r="L38" i="7"/>
  <c r="N38" i="7" s="1"/>
  <c r="E38" i="7"/>
  <c r="CY37" i="7"/>
  <c r="CZ37" i="7" s="1"/>
  <c r="CX37" i="7"/>
  <c r="CQ37" i="7"/>
  <c r="CH37" i="7"/>
  <c r="CF37" i="7"/>
  <c r="CE37" i="7"/>
  <c r="CA37" i="7"/>
  <c r="BW37" i="7"/>
  <c r="BY37" i="7" s="1"/>
  <c r="BT37" i="7"/>
  <c r="BT36" i="7" s="1"/>
  <c r="BP37" i="7"/>
  <c r="BR37" i="7" s="1"/>
  <c r="BI37" i="7"/>
  <c r="BJ37" i="7" s="1"/>
  <c r="BB37" i="7"/>
  <c r="BD37" i="7" s="1"/>
  <c r="AU37" i="7"/>
  <c r="AV37" i="7" s="1"/>
  <c r="AN37" i="7"/>
  <c r="AP37" i="7" s="1"/>
  <c r="AG37" i="7"/>
  <c r="AI37" i="7" s="1"/>
  <c r="Z37" i="7"/>
  <c r="AB37" i="7" s="1"/>
  <c r="S37" i="7"/>
  <c r="T37" i="7" s="1"/>
  <c r="L37" i="7"/>
  <c r="N37" i="7" s="1"/>
  <c r="E37" i="7"/>
  <c r="CC36" i="7"/>
  <c r="CE36" i="7" s="1"/>
  <c r="BV36" i="7"/>
  <c r="BO36" i="7"/>
  <c r="BM36" i="7"/>
  <c r="BH36" i="7"/>
  <c r="BF36" i="7"/>
  <c r="BB36" i="7"/>
  <c r="BA36" i="7"/>
  <c r="AY36" i="7"/>
  <c r="AT36" i="7"/>
  <c r="AT56" i="7" s="1"/>
  <c r="AR36" i="7"/>
  <c r="AK36" i="7"/>
  <c r="AD36" i="7"/>
  <c r="Y36" i="7"/>
  <c r="W36" i="7"/>
  <c r="P36" i="7"/>
  <c r="I36" i="7"/>
  <c r="D36" i="7"/>
  <c r="CY35" i="7"/>
  <c r="CZ35" i="7" s="1"/>
  <c r="CX35" i="7"/>
  <c r="CQ35" i="7"/>
  <c r="CH35" i="7"/>
  <c r="CF35" i="7"/>
  <c r="CE35" i="7"/>
  <c r="CA35" i="7"/>
  <c r="BW35" i="7"/>
  <c r="BX35" i="7" s="1"/>
  <c r="BT35" i="7"/>
  <c r="BT34" i="7" s="1"/>
  <c r="BP35" i="7"/>
  <c r="BR35" i="7" s="1"/>
  <c r="BI35" i="7"/>
  <c r="BK35" i="7" s="1"/>
  <c r="BD35" i="7"/>
  <c r="BC35" i="7"/>
  <c r="AU35" i="7"/>
  <c r="AW35" i="7" s="1"/>
  <c r="AN35" i="7"/>
  <c r="AP35" i="7" s="1"/>
  <c r="AG35" i="7"/>
  <c r="AI35" i="7" s="1"/>
  <c r="AB35" i="7"/>
  <c r="AA35" i="7"/>
  <c r="S35" i="7"/>
  <c r="U35" i="7" s="1"/>
  <c r="N35" i="7"/>
  <c r="M35" i="7"/>
  <c r="E35" i="7"/>
  <c r="G35" i="7" s="1"/>
  <c r="CC34" i="7"/>
  <c r="CE34" i="7" s="1"/>
  <c r="CA34" i="7"/>
  <c r="BV34" i="7"/>
  <c r="BO34" i="7"/>
  <c r="BM34" i="7"/>
  <c r="BH34" i="7"/>
  <c r="BF34" i="7"/>
  <c r="BA34" i="7"/>
  <c r="BD34" i="7" s="1"/>
  <c r="AY34" i="7"/>
  <c r="AR34" i="7"/>
  <c r="AK34" i="7"/>
  <c r="AD34" i="7"/>
  <c r="Z34" i="7"/>
  <c r="Y34" i="7"/>
  <c r="W34" i="7"/>
  <c r="P34" i="7"/>
  <c r="L34" i="7"/>
  <c r="M34" i="7" s="1"/>
  <c r="I34" i="7"/>
  <c r="D34" i="7"/>
  <c r="CH33" i="7"/>
  <c r="CD33" i="7"/>
  <c r="CC33" i="7"/>
  <c r="CA33" i="7"/>
  <c r="BW33" i="7"/>
  <c r="BV33" i="7"/>
  <c r="BT33" i="7"/>
  <c r="BP33" i="7"/>
  <c r="BO33" i="7"/>
  <c r="BM33" i="7"/>
  <c r="BI33" i="7"/>
  <c r="BH33" i="7"/>
  <c r="BF33" i="7"/>
  <c r="BB33" i="7"/>
  <c r="BA33" i="7"/>
  <c r="AY33" i="7"/>
  <c r="AT33" i="7"/>
  <c r="AR33" i="7"/>
  <c r="AM33" i="7"/>
  <c r="AK33" i="7"/>
  <c r="AF33" i="7"/>
  <c r="AD33" i="7"/>
  <c r="Z33" i="7"/>
  <c r="Y33" i="7"/>
  <c r="W33" i="7"/>
  <c r="R33" i="7"/>
  <c r="P33" i="7"/>
  <c r="K33" i="7"/>
  <c r="I33" i="7"/>
  <c r="CY32" i="7"/>
  <c r="CZ32" i="7" s="1"/>
  <c r="CX32" i="7"/>
  <c r="CV32" i="7"/>
  <c r="CQ32" i="7"/>
  <c r="CO32" i="7"/>
  <c r="CF32" i="7"/>
  <c r="CE32" i="7"/>
  <c r="BY32" i="7"/>
  <c r="BX32" i="7"/>
  <c r="BR32" i="7"/>
  <c r="BQ32" i="7"/>
  <c r="BK32" i="7"/>
  <c r="BJ32" i="7"/>
  <c r="BD32" i="7"/>
  <c r="BC32" i="7"/>
  <c r="AU32" i="7"/>
  <c r="CK32" i="7" s="1"/>
  <c r="CL32" i="7" s="1"/>
  <c r="AP32" i="7"/>
  <c r="AO32" i="7"/>
  <c r="AI32" i="7"/>
  <c r="AH32" i="7"/>
  <c r="AB32" i="7"/>
  <c r="AA32" i="7"/>
  <c r="U32" i="7"/>
  <c r="T32" i="7"/>
  <c r="N32" i="7"/>
  <c r="M32" i="7"/>
  <c r="G32" i="7"/>
  <c r="F32" i="7"/>
  <c r="CY31" i="7"/>
  <c r="CZ31" i="7" s="1"/>
  <c r="CX31" i="7"/>
  <c r="CV31" i="7"/>
  <c r="CQ31" i="7"/>
  <c r="CO31" i="7"/>
  <c r="CF31" i="7"/>
  <c r="CE31" i="7"/>
  <c r="BY31" i="7"/>
  <c r="BX31" i="7"/>
  <c r="BR31" i="7"/>
  <c r="BQ31" i="7"/>
  <c r="BK31" i="7"/>
  <c r="BJ31" i="7"/>
  <c r="BD31" i="7"/>
  <c r="BC31" i="7"/>
  <c r="AU31" i="7"/>
  <c r="AV31" i="7" s="1"/>
  <c r="AN31" i="7"/>
  <c r="AP31" i="7" s="1"/>
  <c r="AG31" i="7"/>
  <c r="AH31" i="7" s="1"/>
  <c r="AB31" i="7"/>
  <c r="AA31" i="7"/>
  <c r="S31" i="7"/>
  <c r="U31" i="7" s="1"/>
  <c r="L31" i="7"/>
  <c r="G31" i="7"/>
  <c r="F31" i="7"/>
  <c r="CH30" i="7"/>
  <c r="CC30" i="7"/>
  <c r="CE30" i="7" s="1"/>
  <c r="CA30" i="7"/>
  <c r="BW30" i="7"/>
  <c r="BV30" i="7"/>
  <c r="BT30" i="7"/>
  <c r="BO30" i="7"/>
  <c r="BM30" i="7"/>
  <c r="BH30" i="7"/>
  <c r="BK30" i="7" s="1"/>
  <c r="BF30" i="7"/>
  <c r="BA30" i="7"/>
  <c r="BD30" i="7" s="1"/>
  <c r="AY30" i="7"/>
  <c r="AR30" i="7"/>
  <c r="AK30" i="7"/>
  <c r="AD30" i="7"/>
  <c r="AB30" i="7"/>
  <c r="AA30" i="7"/>
  <c r="W30" i="7"/>
  <c r="U30" i="7"/>
  <c r="T30" i="7"/>
  <c r="P30" i="7"/>
  <c r="I30" i="7"/>
  <c r="E30" i="7"/>
  <c r="E33" i="7" s="1"/>
  <c r="D30" i="7"/>
  <c r="CY28" i="7"/>
  <c r="CZ28" i="7" s="1"/>
  <c r="CX28" i="7"/>
  <c r="CV28" i="7"/>
  <c r="CQ28" i="7"/>
  <c r="CO28" i="7"/>
  <c r="CF28" i="7"/>
  <c r="CE28" i="7"/>
  <c r="BY28" i="7"/>
  <c r="BX28" i="7"/>
  <c r="BR28" i="7"/>
  <c r="BQ28" i="7"/>
  <c r="BK28" i="7"/>
  <c r="BJ28" i="7"/>
  <c r="BD28" i="7"/>
  <c r="BC28" i="7"/>
  <c r="AW28" i="7"/>
  <c r="AV28" i="7"/>
  <c r="AP28" i="7"/>
  <c r="AO28" i="7"/>
  <c r="AI28" i="7"/>
  <c r="AH28" i="7"/>
  <c r="AB28" i="7"/>
  <c r="AA28" i="7"/>
  <c r="U28" i="7"/>
  <c r="T28" i="7"/>
  <c r="N28" i="7"/>
  <c r="M28" i="7"/>
  <c r="E28" i="7"/>
  <c r="CK28" i="7" s="1"/>
  <c r="CY27" i="7"/>
  <c r="CZ27" i="7" s="1"/>
  <c r="CX27" i="7"/>
  <c r="CV27" i="7"/>
  <c r="CQ27" i="7"/>
  <c r="CO27" i="7"/>
  <c r="CF27" i="7"/>
  <c r="CE27" i="7"/>
  <c r="BW27" i="7"/>
  <c r="BX27" i="7" s="1"/>
  <c r="BP27" i="7"/>
  <c r="BR27" i="7" s="1"/>
  <c r="BK27" i="7"/>
  <c r="BJ27" i="7"/>
  <c r="BD27" i="7"/>
  <c r="BC27" i="7"/>
  <c r="AU27" i="7"/>
  <c r="AV27" i="7" s="1"/>
  <c r="AN27" i="7"/>
  <c r="AP27" i="7" s="1"/>
  <c r="AG27" i="7"/>
  <c r="AH27" i="7" s="1"/>
  <c r="AB27" i="7"/>
  <c r="AA27" i="7"/>
  <c r="U27" i="7"/>
  <c r="T27" i="7"/>
  <c r="L27" i="7"/>
  <c r="N27" i="7" s="1"/>
  <c r="E27" i="7"/>
  <c r="CY26" i="7"/>
  <c r="CZ26" i="7" s="1"/>
  <c r="CX26" i="7"/>
  <c r="CQ26" i="7"/>
  <c r="CH26" i="7"/>
  <c r="CH25" i="7" s="1"/>
  <c r="CF26" i="7"/>
  <c r="CE26" i="7"/>
  <c r="CA26" i="7"/>
  <c r="CA25" i="7" s="1"/>
  <c r="BW26" i="7"/>
  <c r="BY26" i="7" s="1"/>
  <c r="BT26" i="7"/>
  <c r="BP26" i="7"/>
  <c r="BR26" i="7" s="1"/>
  <c r="BI26" i="7"/>
  <c r="BJ26" i="7" s="1"/>
  <c r="BB26" i="7"/>
  <c r="BD26" i="7" s="1"/>
  <c r="AU26" i="7"/>
  <c r="AV26" i="7" s="1"/>
  <c r="AN26" i="7"/>
  <c r="AP26" i="7" s="1"/>
  <c r="AG26" i="7"/>
  <c r="AH26" i="7" s="1"/>
  <c r="Z26" i="7"/>
  <c r="AB26" i="7" s="1"/>
  <c r="S26" i="7"/>
  <c r="T26" i="7" s="1"/>
  <c r="L26" i="7"/>
  <c r="N26" i="7" s="1"/>
  <c r="E26" i="7"/>
  <c r="CD25" i="7"/>
  <c r="CC25" i="7"/>
  <c r="BV25" i="7"/>
  <c r="BO25" i="7"/>
  <c r="BM25" i="7"/>
  <c r="BH25" i="7"/>
  <c r="BF25" i="7"/>
  <c r="BA25" i="7"/>
  <c r="AY25" i="7"/>
  <c r="AT25" i="7"/>
  <c r="AR25" i="7"/>
  <c r="AM25" i="7"/>
  <c r="AK25" i="7"/>
  <c r="AF25" i="7"/>
  <c r="AD25" i="7"/>
  <c r="Y25" i="7"/>
  <c r="W25" i="7"/>
  <c r="R25" i="7"/>
  <c r="P25" i="7"/>
  <c r="K25" i="7"/>
  <c r="I25" i="7"/>
  <c r="D25" i="7"/>
  <c r="CY24" i="7"/>
  <c r="CZ24" i="7" s="1"/>
  <c r="CX24" i="7"/>
  <c r="CQ24" i="7"/>
  <c r="CO24" i="7"/>
  <c r="CH24" i="7"/>
  <c r="CH23" i="7" s="1"/>
  <c r="CF24" i="7"/>
  <c r="CE24" i="7"/>
  <c r="CA24" i="7"/>
  <c r="CA23" i="7" s="1"/>
  <c r="BW24" i="7"/>
  <c r="BY24" i="7" s="1"/>
  <c r="BT24" i="7"/>
  <c r="BP24" i="7"/>
  <c r="BR24" i="7" s="1"/>
  <c r="BK24" i="7"/>
  <c r="BJ24" i="7"/>
  <c r="BB24" i="7"/>
  <c r="BC24" i="7" s="1"/>
  <c r="AU24" i="7"/>
  <c r="AW24" i="7" s="1"/>
  <c r="AN24" i="7"/>
  <c r="AO24" i="7" s="1"/>
  <c r="AG24" i="7"/>
  <c r="AI24" i="7" s="1"/>
  <c r="AB24" i="7"/>
  <c r="AA24" i="7"/>
  <c r="U24" i="7"/>
  <c r="T24" i="7"/>
  <c r="L24" i="7"/>
  <c r="M24" i="7" s="1"/>
  <c r="E24" i="7"/>
  <c r="E23" i="7" s="1"/>
  <c r="CD23" i="7"/>
  <c r="CC23" i="7"/>
  <c r="BV23" i="7"/>
  <c r="BO23" i="7"/>
  <c r="BM23" i="7"/>
  <c r="BI23" i="7"/>
  <c r="BH23" i="7"/>
  <c r="BF23" i="7"/>
  <c r="BA23" i="7"/>
  <c r="AY23" i="7"/>
  <c r="AR23" i="7"/>
  <c r="AK23" i="7"/>
  <c r="AD23" i="7"/>
  <c r="Z23" i="7"/>
  <c r="AA23" i="7" s="1"/>
  <c r="W23" i="7"/>
  <c r="S23" i="7"/>
  <c r="T23" i="7" s="1"/>
  <c r="P23" i="7"/>
  <c r="K23" i="7"/>
  <c r="I23" i="7"/>
  <c r="D23" i="7"/>
  <c r="CY22" i="7"/>
  <c r="CZ22" i="7" s="1"/>
  <c r="CX22" i="7"/>
  <c r="CQ22" i="7"/>
  <c r="CH22" i="7"/>
  <c r="CH21" i="7" s="1"/>
  <c r="CF22" i="7"/>
  <c r="CE22" i="7"/>
  <c r="CA22" i="7"/>
  <c r="CA21" i="7" s="1"/>
  <c r="BT22" i="7"/>
  <c r="BP22" i="7"/>
  <c r="BR22" i="7" s="1"/>
  <c r="BI22" i="7"/>
  <c r="BJ22" i="7" s="1"/>
  <c r="BB22" i="7"/>
  <c r="BD22" i="7" s="1"/>
  <c r="AU22" i="7"/>
  <c r="AV22" i="7" s="1"/>
  <c r="AN22" i="7"/>
  <c r="AP22" i="7" s="1"/>
  <c r="AG22" i="7"/>
  <c r="AH22" i="7" s="1"/>
  <c r="Z22" i="7"/>
  <c r="AB22" i="7" s="1"/>
  <c r="S22" i="7"/>
  <c r="T22" i="7" s="1"/>
  <c r="L22" i="7"/>
  <c r="N22" i="7" s="1"/>
  <c r="E22" i="7"/>
  <c r="CD21" i="7"/>
  <c r="CC21" i="7"/>
  <c r="BV21" i="7"/>
  <c r="BO21" i="7"/>
  <c r="BM21" i="7"/>
  <c r="BH21" i="7"/>
  <c r="BF21" i="7"/>
  <c r="BB21" i="7"/>
  <c r="BA21" i="7"/>
  <c r="AY21" i="7"/>
  <c r="AT21" i="7"/>
  <c r="AR21" i="7"/>
  <c r="AM21" i="7"/>
  <c r="AK21" i="7"/>
  <c r="AF21" i="7"/>
  <c r="AD21" i="7"/>
  <c r="Y21" i="7"/>
  <c r="W21" i="7"/>
  <c r="R21" i="7"/>
  <c r="P21" i="7"/>
  <c r="K21" i="7"/>
  <c r="I21" i="7"/>
  <c r="D21" i="7"/>
  <c r="CY20" i="7"/>
  <c r="CZ20" i="7" s="1"/>
  <c r="CX20" i="7"/>
  <c r="CQ20" i="7"/>
  <c r="CF20" i="7"/>
  <c r="CE20" i="7"/>
  <c r="CA20" i="7"/>
  <c r="CV20" i="7" s="1"/>
  <c r="BY20" i="7"/>
  <c r="BX20" i="7"/>
  <c r="BP20" i="7"/>
  <c r="BQ20" i="7" s="1"/>
  <c r="BK20" i="7"/>
  <c r="BJ20" i="7"/>
  <c r="BD20" i="7"/>
  <c r="BC20" i="7"/>
  <c r="AW20" i="7"/>
  <c r="AV20" i="7"/>
  <c r="AN20" i="7"/>
  <c r="AP20" i="7" s="1"/>
  <c r="AG20" i="7"/>
  <c r="AH20" i="7" s="1"/>
  <c r="AB20" i="7"/>
  <c r="AA20" i="7"/>
  <c r="S20" i="7"/>
  <c r="N20" i="7"/>
  <c r="M20" i="7"/>
  <c r="G20" i="7"/>
  <c r="F20" i="7"/>
  <c r="CY19" i="7"/>
  <c r="CZ19" i="7" s="1"/>
  <c r="CX19" i="7"/>
  <c r="CQ19" i="7"/>
  <c r="CF19" i="7"/>
  <c r="CE19" i="7"/>
  <c r="CA19" i="7"/>
  <c r="BY19" i="7"/>
  <c r="BX19" i="7"/>
  <c r="BT19" i="7"/>
  <c r="BT17" i="7" s="1"/>
  <c r="BP19" i="7"/>
  <c r="BQ19" i="7" s="1"/>
  <c r="BI19" i="7"/>
  <c r="BK19" i="7" s="1"/>
  <c r="BD19" i="7"/>
  <c r="BC19" i="7"/>
  <c r="AW19" i="7"/>
  <c r="AV19" i="7"/>
  <c r="AP19" i="7"/>
  <c r="AO19" i="7"/>
  <c r="AG19" i="7"/>
  <c r="AH19" i="7" s="1"/>
  <c r="Z19" i="7"/>
  <c r="AB19" i="7" s="1"/>
  <c r="S19" i="7"/>
  <c r="T19" i="7" s="1"/>
  <c r="L19" i="7"/>
  <c r="G19" i="7"/>
  <c r="F19" i="7"/>
  <c r="CY18" i="7"/>
  <c r="CZ18" i="7" s="1"/>
  <c r="CX18" i="7"/>
  <c r="CQ18" i="7"/>
  <c r="CH18" i="7"/>
  <c r="CF18" i="7"/>
  <c r="CE18" i="7"/>
  <c r="CA18" i="7"/>
  <c r="CA17" i="7" s="1"/>
  <c r="BT18" i="7"/>
  <c r="BP18" i="7"/>
  <c r="BQ18" i="7" s="1"/>
  <c r="BI18" i="7"/>
  <c r="BK18" i="7" s="1"/>
  <c r="BB18" i="7"/>
  <c r="BC18" i="7" s="1"/>
  <c r="AU18" i="7"/>
  <c r="AW18" i="7" s="1"/>
  <c r="AN18" i="7"/>
  <c r="AO18" i="7" s="1"/>
  <c r="AG18" i="7"/>
  <c r="AI18" i="7" s="1"/>
  <c r="Z18" i="7"/>
  <c r="S18" i="7"/>
  <c r="U18" i="7" s="1"/>
  <c r="L18" i="7"/>
  <c r="L17" i="7" s="1"/>
  <c r="G18" i="7"/>
  <c r="F18" i="7"/>
  <c r="CD17" i="7"/>
  <c r="CC17" i="7"/>
  <c r="BV17" i="7"/>
  <c r="BO17" i="7"/>
  <c r="BM17" i="7"/>
  <c r="BH17" i="7"/>
  <c r="BF17" i="7"/>
  <c r="BA17" i="7"/>
  <c r="AY17" i="7"/>
  <c r="AT17" i="7"/>
  <c r="AR17" i="7"/>
  <c r="AM17" i="7"/>
  <c r="AK17" i="7"/>
  <c r="AF17" i="7"/>
  <c r="AD17" i="7"/>
  <c r="Y17" i="7"/>
  <c r="W17" i="7"/>
  <c r="R17" i="7"/>
  <c r="P17" i="7"/>
  <c r="K17" i="7"/>
  <c r="I17" i="7"/>
  <c r="E17" i="7"/>
  <c r="D17" i="7"/>
  <c r="CY16" i="7"/>
  <c r="CZ16" i="7" s="1"/>
  <c r="CX16" i="7"/>
  <c r="CV16" i="7"/>
  <c r="CQ16" i="7"/>
  <c r="CO16" i="7"/>
  <c r="CF16" i="7"/>
  <c r="CE16" i="7"/>
  <c r="BY16" i="7"/>
  <c r="BX16" i="7"/>
  <c r="BP16" i="7"/>
  <c r="CK16" i="7" s="1"/>
  <c r="CM16" i="7" s="1"/>
  <c r="BK16" i="7"/>
  <c r="BJ16" i="7"/>
  <c r="BD16" i="7"/>
  <c r="BC16" i="7"/>
  <c r="AW16" i="7"/>
  <c r="AV16" i="7"/>
  <c r="AP16" i="7"/>
  <c r="AO16" i="7"/>
  <c r="AI16" i="7"/>
  <c r="AH16" i="7"/>
  <c r="AB16" i="7"/>
  <c r="AA16" i="7"/>
  <c r="U16" i="7"/>
  <c r="T16" i="7"/>
  <c r="N16" i="7"/>
  <c r="M16" i="7"/>
  <c r="G16" i="7"/>
  <c r="F16" i="7"/>
  <c r="CH15" i="7"/>
  <c r="CD15" i="7"/>
  <c r="CC15" i="7"/>
  <c r="CA15" i="7"/>
  <c r="BW15" i="7"/>
  <c r="BY15" i="7" s="1"/>
  <c r="BT15" i="7"/>
  <c r="BO15" i="7"/>
  <c r="BM15" i="7"/>
  <c r="BI15" i="7"/>
  <c r="BH15" i="7"/>
  <c r="BF15" i="7"/>
  <c r="BB15" i="7"/>
  <c r="BA15" i="7"/>
  <c r="AY15" i="7"/>
  <c r="AU15" i="7"/>
  <c r="AT15" i="7"/>
  <c r="AR15" i="7"/>
  <c r="AN15" i="7"/>
  <c r="AM15" i="7"/>
  <c r="AK15" i="7"/>
  <c r="AG15" i="7"/>
  <c r="AF15" i="7"/>
  <c r="AD15" i="7"/>
  <c r="Z15" i="7"/>
  <c r="Y15" i="7"/>
  <c r="W15" i="7"/>
  <c r="S15" i="7"/>
  <c r="R15" i="7"/>
  <c r="P15" i="7"/>
  <c r="L15" i="7"/>
  <c r="K15" i="7"/>
  <c r="I15" i="7"/>
  <c r="E15" i="7"/>
  <c r="D15" i="7"/>
  <c r="BC33" i="7" l="1"/>
  <c r="AN64" i="7"/>
  <c r="AN75" i="7" s="1"/>
  <c r="CK70" i="7"/>
  <c r="CM70" i="7" s="1"/>
  <c r="AA33" i="7"/>
  <c r="BI50" i="7"/>
  <c r="CX62" i="7"/>
  <c r="CR77" i="7"/>
  <c r="CT77" i="7" s="1"/>
  <c r="BH81" i="7"/>
  <c r="AN25" i="7"/>
  <c r="BI54" i="7"/>
  <c r="BJ54" i="7" s="1"/>
  <c r="S54" i="7"/>
  <c r="T54" i="7" s="1"/>
  <c r="CJ64" i="7"/>
  <c r="AN30" i="7"/>
  <c r="AN33" i="7" s="1"/>
  <c r="CS73" i="7"/>
  <c r="BY22" i="7"/>
  <c r="CK42" i="7"/>
  <c r="CM42" i="7" s="1"/>
  <c r="L23" i="7"/>
  <c r="N23" i="7" s="1"/>
  <c r="BY38" i="7"/>
  <c r="CV47" i="7"/>
  <c r="BP52" i="7"/>
  <c r="BQ52" i="7" s="1"/>
  <c r="CV67" i="7"/>
  <c r="AD81" i="7"/>
  <c r="AG23" i="7"/>
  <c r="AH23" i="7" s="1"/>
  <c r="BW23" i="7"/>
  <c r="BX43" i="7"/>
  <c r="BP21" i="7"/>
  <c r="BQ21" i="7" s="1"/>
  <c r="L21" i="7"/>
  <c r="CE23" i="7"/>
  <c r="BI34" i="7"/>
  <c r="BK34" i="7" s="1"/>
  <c r="CJ23" i="7"/>
  <c r="CV24" i="7"/>
  <c r="CY79" i="7"/>
  <c r="CZ79" i="7" s="1"/>
  <c r="BP17" i="7"/>
  <c r="BQ17" i="7" s="1"/>
  <c r="Z21" i="7"/>
  <c r="Z25" i="7"/>
  <c r="AB25" i="7" s="1"/>
  <c r="CV43" i="7"/>
  <c r="CV45" i="7"/>
  <c r="CK78" i="7"/>
  <c r="CM78" i="7" s="1"/>
  <c r="CY30" i="7"/>
  <c r="CZ30" i="7" s="1"/>
  <c r="I29" i="7"/>
  <c r="AT29" i="7"/>
  <c r="AT63" i="7" s="1"/>
  <c r="AT87" i="7" s="1"/>
  <c r="AT90" i="7" s="1"/>
  <c r="BM29" i="7"/>
  <c r="CR19" i="7"/>
  <c r="CT19" i="7" s="1"/>
  <c r="AN23" i="7"/>
  <c r="AO23" i="7" s="1"/>
  <c r="AP33" i="7"/>
  <c r="AN34" i="7"/>
  <c r="AP34" i="7" s="1"/>
  <c r="CV66" i="7"/>
  <c r="BB17" i="7"/>
  <c r="CV30" i="7"/>
  <c r="K29" i="7"/>
  <c r="K63" i="7" s="1"/>
  <c r="K87" i="7" s="1"/>
  <c r="K90" i="7" s="1"/>
  <c r="AD29" i="7"/>
  <c r="BO29" i="7"/>
  <c r="CK15" i="7"/>
  <c r="CV50" i="7"/>
  <c r="CE62" i="7"/>
  <c r="CJ34" i="7"/>
  <c r="BP15" i="7"/>
  <c r="BR15" i="7" s="1"/>
  <c r="BI17" i="7"/>
  <c r="BJ17" i="7" s="1"/>
  <c r="AU23" i="7"/>
  <c r="AV23" i="7" s="1"/>
  <c r="CY25" i="7"/>
  <c r="CZ25" i="7" s="1"/>
  <c r="L50" i="7"/>
  <c r="M50" i="7" s="1"/>
  <c r="CQ21" i="7"/>
  <c r="CJ21" i="7"/>
  <c r="K81" i="7"/>
  <c r="AR81" i="7"/>
  <c r="AN17" i="7"/>
  <c r="CV26" i="7"/>
  <c r="CR41" i="7"/>
  <c r="CT41" i="7" s="1"/>
  <c r="CY50" i="7"/>
  <c r="CZ50" i="7" s="1"/>
  <c r="CR80" i="7"/>
  <c r="DA80" i="7" s="1"/>
  <c r="AK29" i="7"/>
  <c r="CK20" i="7"/>
  <c r="CL20" i="7" s="1"/>
  <c r="CT74" i="7"/>
  <c r="AM29" i="7"/>
  <c r="AM63" i="7" s="1"/>
  <c r="AM87" i="7" s="1"/>
  <c r="AM90" i="7" s="1"/>
  <c r="BF29" i="7"/>
  <c r="AN21" i="7"/>
  <c r="AO21" i="7" s="1"/>
  <c r="CK22" i="7"/>
  <c r="CK21" i="7" s="1"/>
  <c r="CX23" i="7"/>
  <c r="CK24" i="7"/>
  <c r="CM24" i="7" s="1"/>
  <c r="CE33" i="7"/>
  <c r="S34" i="7"/>
  <c r="T34" i="7" s="1"/>
  <c r="AA50" i="7"/>
  <c r="CX59" i="7"/>
  <c r="BA81" i="7"/>
  <c r="CV80" i="7"/>
  <c r="E34" i="7"/>
  <c r="CJ62" i="7"/>
  <c r="BA29" i="7"/>
  <c r="BP25" i="7"/>
  <c r="BR25" i="7" s="1"/>
  <c r="CR37" i="7"/>
  <c r="CS37" i="7" s="1"/>
  <c r="R29" i="7"/>
  <c r="R63" i="7" s="1"/>
  <c r="R87" i="7" s="1"/>
  <c r="R90" i="7" s="1"/>
  <c r="CQ25" i="7"/>
  <c r="CJ25" i="7"/>
  <c r="CR27" i="7"/>
  <c r="CS27" i="7" s="1"/>
  <c r="BP50" i="7"/>
  <c r="BR50" i="7" s="1"/>
  <c r="CJ59" i="7"/>
  <c r="W29" i="7"/>
  <c r="BH29" i="7"/>
  <c r="CC29" i="7"/>
  <c r="CJ17" i="7"/>
  <c r="AU17" i="7"/>
  <c r="AW17" i="7" s="1"/>
  <c r="CY17" i="7"/>
  <c r="CZ17" i="7" s="1"/>
  <c r="CY21" i="7"/>
  <c r="CZ21" i="7" s="1"/>
  <c r="BP23" i="7"/>
  <c r="BR23" i="7" s="1"/>
  <c r="BB25" i="7"/>
  <c r="BD25" i="7" s="1"/>
  <c r="D33" i="7"/>
  <c r="CJ33" i="7" s="1"/>
  <c r="CJ30" i="7"/>
  <c r="CJ36" i="7"/>
  <c r="CR38" i="7"/>
  <c r="CS38" i="7" s="1"/>
  <c r="CQ50" i="7"/>
  <c r="CJ50" i="7"/>
  <c r="CK61" i="7"/>
  <c r="CM61" i="7" s="1"/>
  <c r="CR72" i="7"/>
  <c r="CS72" i="7" s="1"/>
  <c r="CJ76" i="7"/>
  <c r="CQ76" i="7" s="1"/>
  <c r="BJ79" i="7"/>
  <c r="CT83" i="7"/>
  <c r="BV29" i="7"/>
  <c r="CK26" i="7"/>
  <c r="AG54" i="7"/>
  <c r="AI54" i="7" s="1"/>
  <c r="CA75" i="7"/>
  <c r="AY29" i="7"/>
  <c r="S36" i="7"/>
  <c r="T36" i="7" s="1"/>
  <c r="BW52" i="7"/>
  <c r="BX52" i="7" s="1"/>
  <c r="CV58" i="7"/>
  <c r="P29" i="7"/>
  <c r="CK51" i="7"/>
  <c r="CJ52" i="7"/>
  <c r="CV78" i="7"/>
  <c r="CJ15" i="7"/>
  <c r="CR15" i="7"/>
  <c r="AR29" i="7"/>
  <c r="CV22" i="7"/>
  <c r="BT23" i="7"/>
  <c r="CV23" i="7" s="1"/>
  <c r="L25" i="7"/>
  <c r="CX33" i="7"/>
  <c r="Y56" i="7"/>
  <c r="E36" i="7"/>
  <c r="G36" i="7" s="1"/>
  <c r="CY36" i="7"/>
  <c r="CZ36" i="7" s="1"/>
  <c r="CA36" i="7"/>
  <c r="CA56" i="7" s="1"/>
  <c r="CV44" i="7"/>
  <c r="E50" i="7"/>
  <c r="F50" i="7" s="1"/>
  <c r="BW50" i="7"/>
  <c r="CY52" i="7"/>
  <c r="CZ52" i="7" s="1"/>
  <c r="CJ54" i="7"/>
  <c r="BW54" i="7"/>
  <c r="BY54" i="7" s="1"/>
  <c r="CE59" i="7"/>
  <c r="CV61" i="7"/>
  <c r="CV65" i="7"/>
  <c r="CK67" i="7"/>
  <c r="CM67" i="7" s="1"/>
  <c r="CO47" i="7"/>
  <c r="CF17" i="7"/>
  <c r="DA46" i="7"/>
  <c r="DA48" i="7"/>
  <c r="DA73" i="7"/>
  <c r="DA82" i="7"/>
  <c r="DA83" i="7"/>
  <c r="AA15" i="7"/>
  <c r="BQ16" i="7"/>
  <c r="CL16" i="7"/>
  <c r="CR16" i="7"/>
  <c r="G17" i="7"/>
  <c r="M17" i="7"/>
  <c r="BC17" i="7"/>
  <c r="BK17" i="7"/>
  <c r="CX17" i="7"/>
  <c r="T18" i="7"/>
  <c r="AH18" i="7"/>
  <c r="AV18" i="7"/>
  <c r="BJ18" i="7"/>
  <c r="CO18" i="7"/>
  <c r="M19" i="7"/>
  <c r="AA19" i="7"/>
  <c r="BJ19" i="7"/>
  <c r="CO19" i="7"/>
  <c r="T20" i="7"/>
  <c r="AO20" i="7"/>
  <c r="CO20" i="7"/>
  <c r="AA21" i="7"/>
  <c r="BC21" i="7"/>
  <c r="CX21" i="7"/>
  <c r="CE21" i="7"/>
  <c r="M22" i="7"/>
  <c r="AA22" i="7"/>
  <c r="AO22" i="7"/>
  <c r="BC22" i="7"/>
  <c r="BQ22" i="7"/>
  <c r="CO22" i="7"/>
  <c r="BJ23" i="7"/>
  <c r="BX23" i="7"/>
  <c r="CF23" i="7"/>
  <c r="F24" i="7"/>
  <c r="AH24" i="7"/>
  <c r="AV24" i="7"/>
  <c r="BQ24" i="7"/>
  <c r="BX24" i="7"/>
  <c r="M25" i="7"/>
  <c r="Y29" i="7"/>
  <c r="AO25" i="7"/>
  <c r="CX25" i="7"/>
  <c r="CE25" i="7"/>
  <c r="M26" i="7"/>
  <c r="AA26" i="7"/>
  <c r="AO26" i="7"/>
  <c r="BC26" i="7"/>
  <c r="BQ26" i="7"/>
  <c r="BX26" i="7"/>
  <c r="CO26" i="7"/>
  <c r="M27" i="7"/>
  <c r="AO27" i="7"/>
  <c r="BQ27" i="7"/>
  <c r="F28" i="7"/>
  <c r="CR28" i="7"/>
  <c r="CS28" i="7" s="1"/>
  <c r="AO30" i="7"/>
  <c r="BC30" i="7"/>
  <c r="BJ30" i="7"/>
  <c r="BQ30" i="7"/>
  <c r="CO30" i="7"/>
  <c r="BX30" i="7"/>
  <c r="T31" i="7"/>
  <c r="AO31" i="7"/>
  <c r="AW32" i="7"/>
  <c r="CV33" i="7"/>
  <c r="S33" i="7"/>
  <c r="T33" i="7" s="1"/>
  <c r="AB33" i="7"/>
  <c r="AO33" i="7"/>
  <c r="BJ33" i="7"/>
  <c r="BK33" i="7"/>
  <c r="BX33" i="7"/>
  <c r="BY33" i="7"/>
  <c r="F34" i="7"/>
  <c r="N34" i="7"/>
  <c r="BC34" i="7"/>
  <c r="BJ34" i="7"/>
  <c r="T35" i="7"/>
  <c r="AO35" i="7"/>
  <c r="BJ35" i="7"/>
  <c r="G37" i="7"/>
  <c r="M37" i="7"/>
  <c r="U37" i="7"/>
  <c r="AA37" i="7"/>
  <c r="AO37" i="7"/>
  <c r="AW37" i="7"/>
  <c r="BC37" i="7"/>
  <c r="BK37" i="7"/>
  <c r="BQ37" i="7"/>
  <c r="BX37" i="7"/>
  <c r="G38" i="7"/>
  <c r="M38" i="7"/>
  <c r="U38" i="7"/>
  <c r="AA38" i="7"/>
  <c r="AI38" i="7"/>
  <c r="AO38" i="7"/>
  <c r="AW38" i="7"/>
  <c r="BC38" i="7"/>
  <c r="BK38" i="7"/>
  <c r="BQ38" i="7"/>
  <c r="CO38" i="7"/>
  <c r="CM39" i="7"/>
  <c r="CS39" i="7"/>
  <c r="AA40" i="7"/>
  <c r="F41" i="7"/>
  <c r="T41" i="7"/>
  <c r="AH41" i="7"/>
  <c r="AV41" i="7"/>
  <c r="BJ41" i="7"/>
  <c r="BY41" i="7"/>
  <c r="CO41" i="7"/>
  <c r="M42" i="7"/>
  <c r="BX42" i="7"/>
  <c r="M43" i="7"/>
  <c r="AA43" i="7"/>
  <c r="AO43" i="7"/>
  <c r="BC43" i="7"/>
  <c r="BQ43" i="7"/>
  <c r="CO43" i="7"/>
  <c r="M44" i="7"/>
  <c r="AA44" i="7"/>
  <c r="AV44" i="7"/>
  <c r="BQ44" i="7"/>
  <c r="BX44" i="7"/>
  <c r="CO44" i="7"/>
  <c r="M45" i="7"/>
  <c r="AA45" i="7"/>
  <c r="AO45" i="7"/>
  <c r="BC45" i="7"/>
  <c r="BQ45" i="7"/>
  <c r="BX45" i="7"/>
  <c r="CO45" i="7"/>
  <c r="CS46" i="7"/>
  <c r="CT46" i="7"/>
  <c r="AA47" i="7"/>
  <c r="AI47" i="7"/>
  <c r="AV47" i="7"/>
  <c r="BR47" i="7"/>
  <c r="CS48" i="7"/>
  <c r="CT48" i="7"/>
  <c r="T49" i="7"/>
  <c r="AB49" i="7"/>
  <c r="AH49" i="7"/>
  <c r="AP49" i="7"/>
  <c r="AV49" i="7"/>
  <c r="BD49" i="7"/>
  <c r="BJ49" i="7"/>
  <c r="BR49" i="7"/>
  <c r="CO49" i="7"/>
  <c r="AB50" i="7"/>
  <c r="AH50" i="7"/>
  <c r="AO50" i="7"/>
  <c r="AV50" i="7"/>
  <c r="BC50" i="7"/>
  <c r="BJ50" i="7"/>
  <c r="CO50" i="7"/>
  <c r="BX50" i="7"/>
  <c r="CF50" i="7"/>
  <c r="G51" i="7"/>
  <c r="M51" i="7"/>
  <c r="BK51" i="7"/>
  <c r="BQ51" i="7"/>
  <c r="BY51" i="7"/>
  <c r="F52" i="7"/>
  <c r="N52" i="7"/>
  <c r="AH52" i="7"/>
  <c r="AO52" i="7"/>
  <c r="AV52" i="7"/>
  <c r="BC52" i="7"/>
  <c r="BJ52" i="7"/>
  <c r="BK52" i="7"/>
  <c r="BQ53" i="7"/>
  <c r="BX53" i="7"/>
  <c r="P56" i="7"/>
  <c r="W56" i="7"/>
  <c r="AA54" i="7"/>
  <c r="AB54" i="7"/>
  <c r="AH55" i="7"/>
  <c r="BJ55" i="7"/>
  <c r="BY55" i="7"/>
  <c r="F58" i="7"/>
  <c r="T58" i="7"/>
  <c r="AH58" i="7"/>
  <c r="AV58" i="7"/>
  <c r="BJ58" i="7"/>
  <c r="S59" i="7"/>
  <c r="T59" i="7" s="1"/>
  <c r="AG59" i="7"/>
  <c r="AH59" i="7" s="1"/>
  <c r="AU59" i="7"/>
  <c r="AV59" i="7" s="1"/>
  <c r="BI59" i="7"/>
  <c r="BJ59" i="7" s="1"/>
  <c r="BT59" i="7"/>
  <c r="CO59" i="7" s="1"/>
  <c r="CF59" i="7"/>
  <c r="M61" i="7"/>
  <c r="AA61" i="7"/>
  <c r="AO61" i="7"/>
  <c r="BC61" i="7"/>
  <c r="BQ61" i="7"/>
  <c r="L62" i="7"/>
  <c r="M62" i="7" s="1"/>
  <c r="BX62" i="7"/>
  <c r="CF62" i="7"/>
  <c r="AV65" i="7"/>
  <c r="CO65" i="7"/>
  <c r="AA66" i="7"/>
  <c r="AV66" i="7"/>
  <c r="BQ66" i="7"/>
  <c r="BX66" i="7"/>
  <c r="M67" i="7"/>
  <c r="AB67" i="7"/>
  <c r="AO67" i="7"/>
  <c r="BQ67" i="7"/>
  <c r="AA68" i="7"/>
  <c r="AV68" i="7"/>
  <c r="N69" i="7"/>
  <c r="AA69" i="7"/>
  <c r="AW69" i="7"/>
  <c r="CO69" i="7"/>
  <c r="M70" i="7"/>
  <c r="AV70" i="7"/>
  <c r="CO70" i="7"/>
  <c r="AA71" i="7"/>
  <c r="AO71" i="7"/>
  <c r="CO71" i="7"/>
  <c r="AA72" i="7"/>
  <c r="AW72" i="7"/>
  <c r="CO72" i="7"/>
  <c r="CK72" i="7"/>
  <c r="CL72" i="7" s="1"/>
  <c r="DA72" i="7"/>
  <c r="CL73" i="7"/>
  <c r="CM73" i="7"/>
  <c r="BQ74" i="7"/>
  <c r="CK74" i="7"/>
  <c r="CL74" i="7" s="1"/>
  <c r="M79" i="7"/>
  <c r="AA79" i="7"/>
  <c r="AO79" i="7"/>
  <c r="CY76" i="7"/>
  <c r="CZ76" i="7" s="1"/>
  <c r="DA76" i="7" s="1"/>
  <c r="BC77" i="7"/>
  <c r="M78" i="7"/>
  <c r="BX78" i="7"/>
  <c r="CO78" i="7"/>
  <c r="D79" i="7"/>
  <c r="CJ79" i="7" s="1"/>
  <c r="BB79" i="7"/>
  <c r="BC79" i="7" s="1"/>
  <c r="BK79" i="7"/>
  <c r="CX79" i="7"/>
  <c r="CE79" i="7"/>
  <c r="BC80" i="7"/>
  <c r="BQ80" i="7"/>
  <c r="CO80" i="7"/>
  <c r="CL82" i="7"/>
  <c r="CM82" i="7"/>
  <c r="DA74" i="7"/>
  <c r="CS74" i="7"/>
  <c r="BW36" i="7"/>
  <c r="BX36" i="7" s="1"/>
  <c r="BW21" i="7"/>
  <c r="BY21" i="7" s="1"/>
  <c r="M15" i="7"/>
  <c r="AO15" i="7"/>
  <c r="BC15" i="7"/>
  <c r="BQ15" i="7"/>
  <c r="CE15" i="7"/>
  <c r="CQ15" i="7"/>
  <c r="CV15" i="7"/>
  <c r="CR18" i="7"/>
  <c r="DA18" i="7" s="1"/>
  <c r="M18" i="7"/>
  <c r="CK18" i="7"/>
  <c r="AA18" i="7"/>
  <c r="AB18" i="7"/>
  <c r="DA19" i="7"/>
  <c r="CM22" i="7"/>
  <c r="CT27" i="7"/>
  <c r="CM28" i="7"/>
  <c r="CL28" i="7"/>
  <c r="F15" i="7"/>
  <c r="N15" i="7"/>
  <c r="T15" i="7"/>
  <c r="AB15" i="7"/>
  <c r="AF29" i="7"/>
  <c r="AF63" i="7" s="1"/>
  <c r="AF87" i="7" s="1"/>
  <c r="AF90" i="7" s="1"/>
  <c r="AH15" i="7"/>
  <c r="AP15" i="7"/>
  <c r="AV15" i="7"/>
  <c r="BD15" i="7"/>
  <c r="BJ15" i="7"/>
  <c r="BX15" i="7"/>
  <c r="CF15" i="7"/>
  <c r="CO15" i="7"/>
  <c r="CY15" i="7"/>
  <c r="CZ15" i="7" s="1"/>
  <c r="CQ17" i="7"/>
  <c r="F17" i="7"/>
  <c r="N17" i="7"/>
  <c r="Z17" i="7"/>
  <c r="AP17" i="7"/>
  <c r="BD17" i="7"/>
  <c r="CA29" i="7"/>
  <c r="CE17" i="7"/>
  <c r="CD29" i="7"/>
  <c r="N18" i="7"/>
  <c r="CM20" i="7"/>
  <c r="CM26" i="7"/>
  <c r="CL26" i="7"/>
  <c r="AP18" i="7"/>
  <c r="BD18" i="7"/>
  <c r="BR18" i="7"/>
  <c r="BY18" i="7"/>
  <c r="CV18" i="7"/>
  <c r="U19" i="7"/>
  <c r="AI19" i="7"/>
  <c r="BR19" i="7"/>
  <c r="CK19" i="7"/>
  <c r="CV19" i="7"/>
  <c r="AI20" i="7"/>
  <c r="BR20" i="7"/>
  <c r="CR20" i="7"/>
  <c r="DA20" i="7" s="1"/>
  <c r="AB21" i="7"/>
  <c r="BD21" i="7"/>
  <c r="BX21" i="7"/>
  <c r="CF21" i="7"/>
  <c r="G22" i="7"/>
  <c r="U22" i="7"/>
  <c r="AI22" i="7"/>
  <c r="AW22" i="7"/>
  <c r="BK22" i="7"/>
  <c r="CR22" i="7"/>
  <c r="F23" i="7"/>
  <c r="U23" i="7"/>
  <c r="AB23" i="7"/>
  <c r="BK23" i="7"/>
  <c r="BQ23" i="7"/>
  <c r="BY23" i="7"/>
  <c r="CQ23" i="7"/>
  <c r="CY23" i="7"/>
  <c r="CZ23" i="7" s="1"/>
  <c r="N24" i="7"/>
  <c r="AP24" i="7"/>
  <c r="BD24" i="7"/>
  <c r="CR24" i="7"/>
  <c r="DA24" i="7" s="1"/>
  <c r="N25" i="7"/>
  <c r="AP25" i="7"/>
  <c r="CF25" i="7"/>
  <c r="G26" i="7"/>
  <c r="U26" i="7"/>
  <c r="AI26" i="7"/>
  <c r="AW26" i="7"/>
  <c r="BK26" i="7"/>
  <c r="CR26" i="7"/>
  <c r="G27" i="7"/>
  <c r="AI27" i="7"/>
  <c r="AW27" i="7"/>
  <c r="BY27" i="7"/>
  <c r="CK27" i="7"/>
  <c r="CK25" i="7" s="1"/>
  <c r="D29" i="7"/>
  <c r="F30" i="7"/>
  <c r="BY30" i="7"/>
  <c r="CF30" i="7"/>
  <c r="CX30" i="7"/>
  <c r="L33" i="7"/>
  <c r="CK31" i="7"/>
  <c r="N31" i="7"/>
  <c r="AI31" i="7"/>
  <c r="AW31" i="7"/>
  <c r="BQ33" i="7"/>
  <c r="BC36" i="7"/>
  <c r="CO37" i="7"/>
  <c r="CR40" i="7"/>
  <c r="M40" i="7"/>
  <c r="BQ40" i="7"/>
  <c r="BP36" i="7"/>
  <c r="CO40" i="7"/>
  <c r="CH36" i="7"/>
  <c r="CK40" i="7"/>
  <c r="CV40" i="7"/>
  <c r="AA41" i="7"/>
  <c r="Z36" i="7"/>
  <c r="AO41" i="7"/>
  <c r="AN36" i="7"/>
  <c r="CK41" i="7"/>
  <c r="CV41" i="7"/>
  <c r="CR42" i="7"/>
  <c r="DA42" i="7" s="1"/>
  <c r="CK43" i="7"/>
  <c r="F43" i="7"/>
  <c r="CK44" i="7"/>
  <c r="F44" i="7"/>
  <c r="CK45" i="7"/>
  <c r="F45" i="7"/>
  <c r="CL51" i="7"/>
  <c r="CK50" i="7"/>
  <c r="CX52" i="7"/>
  <c r="CK53" i="7"/>
  <c r="AA53" i="7"/>
  <c r="Z52" i="7"/>
  <c r="D56" i="7"/>
  <c r="CQ54" i="7"/>
  <c r="F54" i="7"/>
  <c r="AV54" i="7"/>
  <c r="BF56" i="7"/>
  <c r="CC56" i="7"/>
  <c r="CE56" i="7" s="1"/>
  <c r="CE54" i="7"/>
  <c r="AO55" i="7"/>
  <c r="AP55" i="7"/>
  <c r="CO55" i="7"/>
  <c r="CH54" i="7"/>
  <c r="CV54" i="7" s="1"/>
  <c r="CK55" i="7"/>
  <c r="CV55" i="7"/>
  <c r="CF56" i="7"/>
  <c r="AB59" i="7"/>
  <c r="AA59" i="7"/>
  <c r="BD59" i="7"/>
  <c r="BC59" i="7"/>
  <c r="AP62" i="7"/>
  <c r="AO62" i="7"/>
  <c r="BR62" i="7"/>
  <c r="BQ62" i="7"/>
  <c r="G15" i="7"/>
  <c r="U15" i="7"/>
  <c r="AI15" i="7"/>
  <c r="AW15" i="7"/>
  <c r="BK15" i="7"/>
  <c r="CX15" i="7"/>
  <c r="BR16" i="7"/>
  <c r="S17" i="7"/>
  <c r="AG17" i="7"/>
  <c r="BW17" i="7"/>
  <c r="CH17" i="7"/>
  <c r="CO17" i="7" s="1"/>
  <c r="N19" i="7"/>
  <c r="U20" i="7"/>
  <c r="E21" i="7"/>
  <c r="S21" i="7"/>
  <c r="AG21" i="7"/>
  <c r="AU21" i="7"/>
  <c r="BI21" i="7"/>
  <c r="BT21" i="7"/>
  <c r="F22" i="7"/>
  <c r="G23" i="7"/>
  <c r="BB23" i="7"/>
  <c r="G24" i="7"/>
  <c r="E25" i="7"/>
  <c r="S25" i="7"/>
  <c r="AG25" i="7"/>
  <c r="AU25" i="7"/>
  <c r="BI25" i="7"/>
  <c r="BT25" i="7"/>
  <c r="CV25" i="7" s="1"/>
  <c r="BW25" i="7"/>
  <c r="F26" i="7"/>
  <c r="F27" i="7"/>
  <c r="G28" i="7"/>
  <c r="G30" i="7"/>
  <c r="L30" i="7"/>
  <c r="AG30" i="7"/>
  <c r="AP30" i="7"/>
  <c r="AU30" i="7"/>
  <c r="BR30" i="7"/>
  <c r="CQ30" i="7"/>
  <c r="M31" i="7"/>
  <c r="CR31" i="7"/>
  <c r="CR32" i="7"/>
  <c r="AV32" i="7"/>
  <c r="CM32" i="7"/>
  <c r="BD33" i="7"/>
  <c r="BR33" i="7"/>
  <c r="CF33" i="7"/>
  <c r="CO33" i="7"/>
  <c r="CY33" i="7"/>
  <c r="CZ33" i="7" s="1"/>
  <c r="CQ34" i="7"/>
  <c r="G34" i="7"/>
  <c r="U34" i="7"/>
  <c r="AA34" i="7"/>
  <c r="CY34" i="7"/>
  <c r="CZ34" i="7" s="1"/>
  <c r="BW34" i="7"/>
  <c r="CF34" i="7"/>
  <c r="CX34" i="7"/>
  <c r="CR35" i="7"/>
  <c r="F35" i="7"/>
  <c r="AH35" i="7"/>
  <c r="AG34" i="7"/>
  <c r="AV35" i="7"/>
  <c r="AU34" i="7"/>
  <c r="BQ35" i="7"/>
  <c r="BP34" i="7"/>
  <c r="BY35" i="7"/>
  <c r="CO35" i="7"/>
  <c r="CH34" i="7"/>
  <c r="CO34" i="7" s="1"/>
  <c r="CK35" i="7"/>
  <c r="CV35" i="7"/>
  <c r="CQ36" i="7"/>
  <c r="L36" i="7"/>
  <c r="AU36" i="7"/>
  <c r="BD36" i="7"/>
  <c r="BI36" i="7"/>
  <c r="CF36" i="7"/>
  <c r="CX36" i="7"/>
  <c r="CK37" i="7"/>
  <c r="F37" i="7"/>
  <c r="AH37" i="7"/>
  <c r="AG36" i="7"/>
  <c r="CV37" i="7"/>
  <c r="CK38" i="7"/>
  <c r="F38" i="7"/>
  <c r="CV38" i="7"/>
  <c r="CT38" i="7"/>
  <c r="CT39" i="7"/>
  <c r="DA39" i="7"/>
  <c r="N40" i="7"/>
  <c r="BR40" i="7"/>
  <c r="N41" i="7"/>
  <c r="AB41" i="7"/>
  <c r="AP41" i="7"/>
  <c r="BD41" i="7"/>
  <c r="BR41" i="7"/>
  <c r="BR42" i="7"/>
  <c r="CL42" i="7"/>
  <c r="G43" i="7"/>
  <c r="U43" i="7"/>
  <c r="AI43" i="7"/>
  <c r="AW43" i="7"/>
  <c r="BK43" i="7"/>
  <c r="CR43" i="7"/>
  <c r="DA43" i="7" s="1"/>
  <c r="G44" i="7"/>
  <c r="U44" i="7"/>
  <c r="AP44" i="7"/>
  <c r="BD44" i="7"/>
  <c r="CR44" i="7"/>
  <c r="DA44" i="7" s="1"/>
  <c r="G45" i="7"/>
  <c r="U45" i="7"/>
  <c r="AI45" i="7"/>
  <c r="AW45" i="7"/>
  <c r="BK45" i="7"/>
  <c r="CR45" i="7"/>
  <c r="DA45" i="7" s="1"/>
  <c r="CM46" i="7"/>
  <c r="CK47" i="7"/>
  <c r="M47" i="7"/>
  <c r="BY47" i="7"/>
  <c r="CR47" i="7"/>
  <c r="DA47" i="7" s="1"/>
  <c r="CM48" i="7"/>
  <c r="CR49" i="7"/>
  <c r="M49" i="7"/>
  <c r="BY49" i="7"/>
  <c r="CK49" i="7"/>
  <c r="CV49" i="7"/>
  <c r="G50" i="7"/>
  <c r="U50" i="7"/>
  <c r="BK50" i="7"/>
  <c r="BY50" i="7"/>
  <c r="CX50" i="7"/>
  <c r="CR51" i="7"/>
  <c r="F51" i="7"/>
  <c r="CM51" i="7"/>
  <c r="CQ52" i="7"/>
  <c r="G52" i="7"/>
  <c r="U52" i="7"/>
  <c r="BT52" i="7"/>
  <c r="CO52" i="7" s="1"/>
  <c r="CF52" i="7"/>
  <c r="AB53" i="7"/>
  <c r="CO53" i="7"/>
  <c r="CR53" i="7"/>
  <c r="DA53" i="7" s="1"/>
  <c r="G54" i="7"/>
  <c r="I56" i="7"/>
  <c r="AN54" i="7"/>
  <c r="AW54" i="7"/>
  <c r="BA56" i="7"/>
  <c r="BA63" i="7" s="1"/>
  <c r="BC54" i="7"/>
  <c r="BO56" i="7"/>
  <c r="CY54" i="7"/>
  <c r="CZ54" i="7" s="1"/>
  <c r="CF54" i="7"/>
  <c r="CX54" i="7"/>
  <c r="CR55" i="7"/>
  <c r="AA55" i="7"/>
  <c r="AB55" i="7"/>
  <c r="BQ55" i="7"/>
  <c r="BR55" i="7"/>
  <c r="BP54" i="7"/>
  <c r="AB34" i="7"/>
  <c r="G41" i="7"/>
  <c r="N42" i="7"/>
  <c r="N54" i="7"/>
  <c r="AD56" i="7"/>
  <c r="AK56" i="7"/>
  <c r="AR56" i="7"/>
  <c r="AY56" i="7"/>
  <c r="BB56" i="7"/>
  <c r="BD54" i="7"/>
  <c r="BH56" i="7"/>
  <c r="BM56" i="7"/>
  <c r="BV56" i="7"/>
  <c r="G59" i="7"/>
  <c r="F59" i="7"/>
  <c r="AP59" i="7"/>
  <c r="AO59" i="7"/>
  <c r="BR59" i="7"/>
  <c r="BQ59" i="7"/>
  <c r="CV59" i="7"/>
  <c r="AB62" i="7"/>
  <c r="AA62" i="7"/>
  <c r="BD62" i="7"/>
  <c r="BC62" i="7"/>
  <c r="N58" i="7"/>
  <c r="AB58" i="7"/>
  <c r="AP58" i="7"/>
  <c r="BD58" i="7"/>
  <c r="BR58" i="7"/>
  <c r="CO58" i="7"/>
  <c r="CR58" i="7"/>
  <c r="L59" i="7"/>
  <c r="AW59" i="7"/>
  <c r="BY59" i="7"/>
  <c r="CQ59" i="7"/>
  <c r="CY59" i="7"/>
  <c r="CZ59" i="7" s="1"/>
  <c r="U61" i="7"/>
  <c r="AI61" i="7"/>
  <c r="AW61" i="7"/>
  <c r="BK61" i="7"/>
  <c r="CO61" i="7"/>
  <c r="CR61" i="7"/>
  <c r="DA61" i="7" s="1"/>
  <c r="F62" i="7"/>
  <c r="S62" i="7"/>
  <c r="AG62" i="7"/>
  <c r="AU62" i="7"/>
  <c r="BI62" i="7"/>
  <c r="BT62" i="7"/>
  <c r="CO62" i="7" s="1"/>
  <c r="BY62" i="7"/>
  <c r="CQ62" i="7"/>
  <c r="CY62" i="7"/>
  <c r="CZ62" i="7" s="1"/>
  <c r="AN81" i="7"/>
  <c r="AP75" i="7"/>
  <c r="BX65" i="7"/>
  <c r="BW64" i="7"/>
  <c r="CR66" i="7"/>
  <c r="M66" i="7"/>
  <c r="L64" i="7"/>
  <c r="L75" i="7" s="1"/>
  <c r="AH66" i="7"/>
  <c r="AG64" i="7"/>
  <c r="AG75" i="7" s="1"/>
  <c r="BB75" i="7"/>
  <c r="BC66" i="7"/>
  <c r="CK68" i="7"/>
  <c r="M68" i="7"/>
  <c r="CV68" i="7"/>
  <c r="CO68" i="7"/>
  <c r="CR68" i="7"/>
  <c r="DA68" i="7" s="1"/>
  <c r="CV69" i="7"/>
  <c r="BJ70" i="7"/>
  <c r="BI64" i="7"/>
  <c r="CL70" i="7"/>
  <c r="CR71" i="7"/>
  <c r="T71" i="7"/>
  <c r="S64" i="7"/>
  <c r="S75" i="7" s="1"/>
  <c r="S81" i="7" s="1"/>
  <c r="CV72" i="7"/>
  <c r="BO81" i="7"/>
  <c r="CX75" i="7"/>
  <c r="BT75" i="7"/>
  <c r="CO75" i="7" s="1"/>
  <c r="BW75" i="7"/>
  <c r="CE75" i="7"/>
  <c r="E81" i="7"/>
  <c r="U79" i="7"/>
  <c r="T79" i="7"/>
  <c r="AI79" i="7"/>
  <c r="AH79" i="7"/>
  <c r="AW79" i="7"/>
  <c r="AV79" i="7"/>
  <c r="BP79" i="7"/>
  <c r="BQ77" i="7"/>
  <c r="CS77" i="7"/>
  <c r="U55" i="7"/>
  <c r="G58" i="7"/>
  <c r="AA58" i="7"/>
  <c r="AO58" i="7"/>
  <c r="BC58" i="7"/>
  <c r="BQ58" i="7"/>
  <c r="CK58" i="7"/>
  <c r="N61" i="7"/>
  <c r="AB61" i="7"/>
  <c r="AP61" i="7"/>
  <c r="BD61" i="7"/>
  <c r="BR61" i="7"/>
  <c r="G62" i="7"/>
  <c r="D75" i="7"/>
  <c r="CJ75" i="7" s="1"/>
  <c r="CX64" i="7"/>
  <c r="CY64" i="7"/>
  <c r="CZ64" i="7" s="1"/>
  <c r="DA64" i="7" s="1"/>
  <c r="CK65" i="7"/>
  <c r="AA65" i="7"/>
  <c r="Z64" i="7"/>
  <c r="Z75" i="7" s="1"/>
  <c r="BP75" i="7"/>
  <c r="BQ65" i="7"/>
  <c r="BP64" i="7"/>
  <c r="BY65" i="7"/>
  <c r="CR65" i="7"/>
  <c r="DA65" i="7" s="1"/>
  <c r="N66" i="7"/>
  <c r="AI66" i="7"/>
  <c r="BD66" i="7"/>
  <c r="CO66" i="7"/>
  <c r="CK66" i="7"/>
  <c r="AV67" i="7"/>
  <c r="AU64" i="7"/>
  <c r="AU75" i="7" s="1"/>
  <c r="CO67" i="7"/>
  <c r="CR67" i="7"/>
  <c r="N68" i="7"/>
  <c r="AI68" i="7"/>
  <c r="CR69" i="7"/>
  <c r="M69" i="7"/>
  <c r="CM69" i="7"/>
  <c r="AB70" i="7"/>
  <c r="BK70" i="7"/>
  <c r="CR70" i="7"/>
  <c r="DA70" i="7" s="1"/>
  <c r="U71" i="7"/>
  <c r="AI71" i="7"/>
  <c r="AW71" i="7"/>
  <c r="CK71" i="7"/>
  <c r="CV71" i="7"/>
  <c r="CT72" i="7"/>
  <c r="CT73" i="7"/>
  <c r="CV74" i="7"/>
  <c r="AO75" i="7"/>
  <c r="BI75" i="7"/>
  <c r="CH81" i="7"/>
  <c r="CY75" i="7"/>
  <c r="CZ75" i="7" s="1"/>
  <c r="CX76" i="7"/>
  <c r="BR77" i="7"/>
  <c r="CA79" i="7"/>
  <c r="CO77" i="7"/>
  <c r="CK77" i="7"/>
  <c r="CV77" i="7"/>
  <c r="N79" i="7"/>
  <c r="R81" i="7"/>
  <c r="AB79" i="7"/>
  <c r="AF81" i="7"/>
  <c r="AP79" i="7"/>
  <c r="N65" i="7"/>
  <c r="N67" i="7"/>
  <c r="N70" i="7"/>
  <c r="AB72" i="7"/>
  <c r="BR74" i="7"/>
  <c r="I81" i="7"/>
  <c r="W81" i="7"/>
  <c r="AK81" i="7"/>
  <c r="AT81" i="7"/>
  <c r="AY81" i="7"/>
  <c r="BM81" i="7"/>
  <c r="CF81" i="7"/>
  <c r="CE81" i="7"/>
  <c r="CF75" i="7"/>
  <c r="K84" i="7"/>
  <c r="Y81" i="7"/>
  <c r="AM81" i="7"/>
  <c r="BD77" i="7"/>
  <c r="BT79" i="7"/>
  <c r="N78" i="7"/>
  <c r="BY79" i="7"/>
  <c r="BX79" i="7"/>
  <c r="CR78" i="7"/>
  <c r="CF79" i="7"/>
  <c r="AB80" i="7"/>
  <c r="BK80" i="7"/>
  <c r="CK80" i="7"/>
  <c r="BY78" i="7"/>
  <c r="AA80" i="7"/>
  <c r="CT82" i="7"/>
  <c r="DA77" i="7" l="1"/>
  <c r="BQ50" i="7"/>
  <c r="CL24" i="7"/>
  <c r="L29" i="7"/>
  <c r="AK63" i="7"/>
  <c r="AI23" i="7"/>
  <c r="M21" i="7"/>
  <c r="Z56" i="7"/>
  <c r="CK30" i="7"/>
  <c r="AA25" i="7"/>
  <c r="BK54" i="7"/>
  <c r="BR17" i="7"/>
  <c r="M23" i="7"/>
  <c r="CS19" i="7"/>
  <c r="CO79" i="7"/>
  <c r="BM63" i="7"/>
  <c r="U54" i="7"/>
  <c r="BR21" i="7"/>
  <c r="CL15" i="7"/>
  <c r="CS80" i="7"/>
  <c r="AI59" i="7"/>
  <c r="U59" i="7"/>
  <c r="CY29" i="7"/>
  <c r="CZ29" i="7" s="1"/>
  <c r="CX29" i="7"/>
  <c r="CL78" i="7"/>
  <c r="CM72" i="7"/>
  <c r="BD79" i="7"/>
  <c r="BR52" i="7"/>
  <c r="CT37" i="7"/>
  <c r="U33" i="7"/>
  <c r="N21" i="7"/>
  <c r="CO23" i="7"/>
  <c r="CL67" i="7"/>
  <c r="CT80" i="7"/>
  <c r="AU56" i="7"/>
  <c r="AW56" i="7" s="1"/>
  <c r="CL22" i="7"/>
  <c r="Y84" i="7"/>
  <c r="AO34" i="7"/>
  <c r="AV17" i="7"/>
  <c r="BV63" i="7"/>
  <c r="BV87" i="7" s="1"/>
  <c r="BV90" i="7" s="1"/>
  <c r="AD63" i="7"/>
  <c r="AD84" i="7" s="1"/>
  <c r="L56" i="7"/>
  <c r="CL61" i="7"/>
  <c r="DA38" i="7"/>
  <c r="CM74" i="7"/>
  <c r="N50" i="7"/>
  <c r="CR23" i="7"/>
  <c r="CT23" i="7" s="1"/>
  <c r="CT15" i="7"/>
  <c r="BY52" i="7"/>
  <c r="CM15" i="7"/>
  <c r="AN29" i="7"/>
  <c r="AO29" i="7" s="1"/>
  <c r="CQ79" i="7"/>
  <c r="Z29" i="7"/>
  <c r="AB29" i="7" s="1"/>
  <c r="CK23" i="7"/>
  <c r="CL23" i="7" s="1"/>
  <c r="AO17" i="7"/>
  <c r="AT84" i="7"/>
  <c r="F79" i="7"/>
  <c r="AH54" i="7"/>
  <c r="CT28" i="7"/>
  <c r="G79" i="7"/>
  <c r="AR63" i="7"/>
  <c r="AR84" i="7" s="1"/>
  <c r="DA37" i="7"/>
  <c r="AW23" i="7"/>
  <c r="BK59" i="7"/>
  <c r="CO36" i="7"/>
  <c r="AP23" i="7"/>
  <c r="CJ29" i="7"/>
  <c r="CQ29" i="7"/>
  <c r="S56" i="7"/>
  <c r="T56" i="7" s="1"/>
  <c r="BX54" i="7"/>
  <c r="BP29" i="7"/>
  <c r="BR29" i="7" s="1"/>
  <c r="DA41" i="7"/>
  <c r="F36" i="7"/>
  <c r="BQ25" i="7"/>
  <c r="CA81" i="7"/>
  <c r="F75" i="7"/>
  <c r="CR59" i="7"/>
  <c r="DA59" i="7" s="1"/>
  <c r="CR50" i="7"/>
  <c r="CS50" i="7" s="1"/>
  <c r="CQ33" i="7"/>
  <c r="BC25" i="7"/>
  <c r="E56" i="7"/>
  <c r="G56" i="7" s="1"/>
  <c r="AG56" i="7"/>
  <c r="AH56" i="7" s="1"/>
  <c r="DA15" i="7"/>
  <c r="BH63" i="7"/>
  <c r="BH87" i="7" s="1"/>
  <c r="BH90" i="7" s="1"/>
  <c r="U36" i="7"/>
  <c r="CJ56" i="7"/>
  <c r="N62" i="7"/>
  <c r="G33" i="7"/>
  <c r="D63" i="7"/>
  <c r="AM84" i="7"/>
  <c r="AY63" i="7"/>
  <c r="AY87" i="7" s="1"/>
  <c r="AY90" i="7" s="1"/>
  <c r="CK62" i="7"/>
  <c r="CM62" i="7" s="1"/>
  <c r="BF63" i="7"/>
  <c r="BF87" i="7" s="1"/>
  <c r="BF90" i="7" s="1"/>
  <c r="F33" i="7"/>
  <c r="W63" i="7"/>
  <c r="W87" i="7" s="1"/>
  <c r="W90" i="7" s="1"/>
  <c r="AF84" i="7"/>
  <c r="CS41" i="7"/>
  <c r="R84" i="7"/>
  <c r="AP21" i="7"/>
  <c r="D81" i="7"/>
  <c r="CJ81" i="7" s="1"/>
  <c r="DA27" i="7"/>
  <c r="P63" i="7"/>
  <c r="P84" i="7" s="1"/>
  <c r="Y63" i="7"/>
  <c r="Y87" i="7" s="1"/>
  <c r="Y90" i="7" s="1"/>
  <c r="CS15" i="7"/>
  <c r="CR54" i="7"/>
  <c r="DA54" i="7" s="1"/>
  <c r="CR36" i="7"/>
  <c r="CT36" i="7" s="1"/>
  <c r="CR34" i="7"/>
  <c r="CS34" i="7" s="1"/>
  <c r="BT29" i="7"/>
  <c r="BW29" i="7"/>
  <c r="CS16" i="7"/>
  <c r="CT16" i="7"/>
  <c r="DA28" i="7"/>
  <c r="DA16" i="7"/>
  <c r="CR75" i="7"/>
  <c r="DA75" i="7" s="1"/>
  <c r="BW56" i="7"/>
  <c r="BY56" i="7" s="1"/>
  <c r="BY36" i="7"/>
  <c r="BM84" i="7"/>
  <c r="BM87" i="7"/>
  <c r="BM90" i="7" s="1"/>
  <c r="AK84" i="7"/>
  <c r="AK87" i="7"/>
  <c r="AK90" i="7" s="1"/>
  <c r="U81" i="7"/>
  <c r="T81" i="7"/>
  <c r="BA87" i="7"/>
  <c r="BA90" i="7" s="1"/>
  <c r="BA84" i="7"/>
  <c r="CS36" i="7"/>
  <c r="AY84" i="7"/>
  <c r="CM25" i="7"/>
  <c r="CL25" i="7"/>
  <c r="CS78" i="7"/>
  <c r="CT78" i="7"/>
  <c r="CK79" i="7"/>
  <c r="CL77" i="7"/>
  <c r="CK76" i="7"/>
  <c r="CM77" i="7"/>
  <c r="CT69" i="7"/>
  <c r="CS69" i="7"/>
  <c r="CS67" i="7"/>
  <c r="CT67" i="7"/>
  <c r="CL66" i="7"/>
  <c r="CM66" i="7"/>
  <c r="BP81" i="7"/>
  <c r="BR75" i="7"/>
  <c r="BQ75" i="7"/>
  <c r="CV79" i="7"/>
  <c r="BQ79" i="7"/>
  <c r="BR79" i="7"/>
  <c r="CR79" i="7"/>
  <c r="BT81" i="7"/>
  <c r="CT71" i="7"/>
  <c r="DA71" i="7"/>
  <c r="CS71" i="7"/>
  <c r="CL80" i="7"/>
  <c r="CM80" i="7"/>
  <c r="DA78" i="7"/>
  <c r="CZ81" i="7"/>
  <c r="CS70" i="7"/>
  <c r="CT70" i="7"/>
  <c r="DA67" i="7"/>
  <c r="Z81" i="7"/>
  <c r="AB75" i="7"/>
  <c r="AA75" i="7"/>
  <c r="CM65" i="7"/>
  <c r="CK75" i="7"/>
  <c r="CL65" i="7"/>
  <c r="CK64" i="7"/>
  <c r="CQ75" i="7"/>
  <c r="G75" i="7"/>
  <c r="CM58" i="7"/>
  <c r="CK59" i="7"/>
  <c r="CL58" i="7"/>
  <c r="CV75" i="7"/>
  <c r="BW81" i="7"/>
  <c r="BX75" i="7"/>
  <c r="BY75" i="7"/>
  <c r="CM68" i="7"/>
  <c r="CL68" i="7"/>
  <c r="BB81" i="7"/>
  <c r="BD75" i="7"/>
  <c r="BC75" i="7"/>
  <c r="AO81" i="7"/>
  <c r="AP81" i="7"/>
  <c r="AV62" i="7"/>
  <c r="AW62" i="7"/>
  <c r="T62" i="7"/>
  <c r="U62" i="7"/>
  <c r="M59" i="7"/>
  <c r="N59" i="7"/>
  <c r="DA69" i="7"/>
  <c r="CT55" i="7"/>
  <c r="CS55" i="7"/>
  <c r="BT56" i="7"/>
  <c r="CX56" i="7"/>
  <c r="CY56" i="7"/>
  <c r="CZ56" i="7" s="1"/>
  <c r="CT51" i="7"/>
  <c r="DA51" i="7"/>
  <c r="CS51" i="7"/>
  <c r="CT49" i="7"/>
  <c r="DA49" i="7"/>
  <c r="CS49" i="7"/>
  <c r="CM47" i="7"/>
  <c r="CL47" i="7"/>
  <c r="CS44" i="7"/>
  <c r="CT44" i="7"/>
  <c r="CS43" i="7"/>
  <c r="CT43" i="7"/>
  <c r="CM38" i="7"/>
  <c r="CL38" i="7"/>
  <c r="CM37" i="7"/>
  <c r="CK36" i="7"/>
  <c r="CL37" i="7"/>
  <c r="CT35" i="7"/>
  <c r="DA35" i="7"/>
  <c r="CS35" i="7"/>
  <c r="BX34" i="7"/>
  <c r="BY34" i="7"/>
  <c r="CS31" i="7"/>
  <c r="CT31" i="7"/>
  <c r="N30" i="7"/>
  <c r="CR30" i="7"/>
  <c r="M30" i="7"/>
  <c r="AW25" i="7"/>
  <c r="AV25" i="7"/>
  <c r="U25" i="7"/>
  <c r="T25" i="7"/>
  <c r="AW21" i="7"/>
  <c r="AV21" i="7"/>
  <c r="U21" i="7"/>
  <c r="T21" i="7"/>
  <c r="AI17" i="7"/>
  <c r="AH17" i="7"/>
  <c r="CV62" i="7"/>
  <c r="DA55" i="7"/>
  <c r="CL55" i="7"/>
  <c r="CM55" i="7"/>
  <c r="CK54" i="7"/>
  <c r="AB52" i="7"/>
  <c r="AA52" i="7"/>
  <c r="CM53" i="7"/>
  <c r="CK52" i="7"/>
  <c r="CL53" i="7"/>
  <c r="CR52" i="7"/>
  <c r="CV52" i="7"/>
  <c r="CS42" i="7"/>
  <c r="CT42" i="7"/>
  <c r="CL41" i="7"/>
  <c r="CM41" i="7"/>
  <c r="CL40" i="7"/>
  <c r="CM40" i="7"/>
  <c r="CT40" i="7"/>
  <c r="CS40" i="7"/>
  <c r="CV34" i="7"/>
  <c r="N33" i="7"/>
  <c r="M33" i="7"/>
  <c r="AA29" i="7"/>
  <c r="CS26" i="7"/>
  <c r="CT26" i="7"/>
  <c r="DA26" i="7"/>
  <c r="CO25" i="7"/>
  <c r="CD63" i="7"/>
  <c r="CE29" i="7"/>
  <c r="CF29" i="7"/>
  <c r="CA63" i="7"/>
  <c r="BO63" i="7"/>
  <c r="DA40" i="7"/>
  <c r="CL18" i="7"/>
  <c r="CK17" i="7"/>
  <c r="CM18" i="7"/>
  <c r="CT18" i="7"/>
  <c r="CS18" i="7"/>
  <c r="CV17" i="7"/>
  <c r="CC63" i="7"/>
  <c r="AU29" i="7"/>
  <c r="M29" i="7"/>
  <c r="N29" i="7"/>
  <c r="BI81" i="7"/>
  <c r="BJ75" i="7"/>
  <c r="BK75" i="7"/>
  <c r="CL71" i="7"/>
  <c r="CM71" i="7"/>
  <c r="AU81" i="7"/>
  <c r="AV75" i="7"/>
  <c r="AW75" i="7"/>
  <c r="CS65" i="7"/>
  <c r="CT65" i="7"/>
  <c r="CX81" i="7"/>
  <c r="CY81" i="7"/>
  <c r="T75" i="7"/>
  <c r="U75" i="7"/>
  <c r="CS68" i="7"/>
  <c r="CT68" i="7"/>
  <c r="AG81" i="7"/>
  <c r="AH75" i="7"/>
  <c r="AI75" i="7"/>
  <c r="L81" i="7"/>
  <c r="N75" i="7"/>
  <c r="M75" i="7"/>
  <c r="CT66" i="7"/>
  <c r="DA66" i="7"/>
  <c r="CS66" i="7"/>
  <c r="BJ62" i="7"/>
  <c r="BK62" i="7"/>
  <c r="AH62" i="7"/>
  <c r="AI62" i="7"/>
  <c r="CS61" i="7"/>
  <c r="CT61" i="7"/>
  <c r="CS58" i="7"/>
  <c r="CT58" i="7"/>
  <c r="CR62" i="7"/>
  <c r="DA62" i="7" s="1"/>
  <c r="DA58" i="7"/>
  <c r="BD56" i="7"/>
  <c r="BC56" i="7"/>
  <c r="AB56" i="7"/>
  <c r="AA56" i="7"/>
  <c r="BP56" i="7"/>
  <c r="BR54" i="7"/>
  <c r="BQ54" i="7"/>
  <c r="AN56" i="7"/>
  <c r="AO54" i="7"/>
  <c r="AP54" i="7"/>
  <c r="CS53" i="7"/>
  <c r="CT53" i="7"/>
  <c r="CL49" i="7"/>
  <c r="CM49" i="7"/>
  <c r="CS47" i="7"/>
  <c r="CT47" i="7"/>
  <c r="CS45" i="7"/>
  <c r="CT45" i="7"/>
  <c r="AI36" i="7"/>
  <c r="AH36" i="7"/>
  <c r="BJ36" i="7"/>
  <c r="BK36" i="7"/>
  <c r="AV36" i="7"/>
  <c r="AW36" i="7"/>
  <c r="M36" i="7"/>
  <c r="N36" i="7"/>
  <c r="CL35" i="7"/>
  <c r="CK34" i="7"/>
  <c r="CM35" i="7"/>
  <c r="BR34" i="7"/>
  <c r="BQ34" i="7"/>
  <c r="AW34" i="7"/>
  <c r="AV34" i="7"/>
  <c r="AI34" i="7"/>
  <c r="AH34" i="7"/>
  <c r="DA34" i="7"/>
  <c r="CT32" i="7"/>
  <c r="DA32" i="7"/>
  <c r="CS32" i="7"/>
  <c r="CM30" i="7"/>
  <c r="CL30" i="7"/>
  <c r="AU33" i="7"/>
  <c r="AW30" i="7"/>
  <c r="AV30" i="7"/>
  <c r="AI30" i="7"/>
  <c r="AG33" i="7"/>
  <c r="AH30" i="7"/>
  <c r="BY25" i="7"/>
  <c r="BX25" i="7"/>
  <c r="BK25" i="7"/>
  <c r="BJ25" i="7"/>
  <c r="AI25" i="7"/>
  <c r="AH25" i="7"/>
  <c r="E29" i="7"/>
  <c r="G25" i="7"/>
  <c r="CR25" i="7"/>
  <c r="F25" i="7"/>
  <c r="BD23" i="7"/>
  <c r="BC23" i="7"/>
  <c r="BK21" i="7"/>
  <c r="BJ21" i="7"/>
  <c r="AI21" i="7"/>
  <c r="AH21" i="7"/>
  <c r="G21" i="7"/>
  <c r="CR21" i="7"/>
  <c r="F21" i="7"/>
  <c r="BY17" i="7"/>
  <c r="BX17" i="7"/>
  <c r="U17" i="7"/>
  <c r="T17" i="7"/>
  <c r="CH56" i="7"/>
  <c r="CO54" i="7"/>
  <c r="BI56" i="7"/>
  <c r="CQ56" i="7"/>
  <c r="CM50" i="7"/>
  <c r="CL50" i="7"/>
  <c r="CM45" i="7"/>
  <c r="CL45" i="7"/>
  <c r="CM44" i="7"/>
  <c r="CL44" i="7"/>
  <c r="CM43" i="7"/>
  <c r="CL43" i="7"/>
  <c r="AP36" i="7"/>
  <c r="AO36" i="7"/>
  <c r="AB36" i="7"/>
  <c r="AA36" i="7"/>
  <c r="BR36" i="7"/>
  <c r="BQ36" i="7"/>
  <c r="CV36" i="7"/>
  <c r="DA31" i="7"/>
  <c r="CM31" i="7"/>
  <c r="CL31" i="7"/>
  <c r="CL27" i="7"/>
  <c r="CM27" i="7"/>
  <c r="CS24" i="7"/>
  <c r="CT24" i="7"/>
  <c r="CS22" i="7"/>
  <c r="CT22" i="7"/>
  <c r="CS20" i="7"/>
  <c r="CT20" i="7"/>
  <c r="CL19" i="7"/>
  <c r="CM19" i="7"/>
  <c r="CV21" i="7"/>
  <c r="AA17" i="7"/>
  <c r="AB17" i="7"/>
  <c r="CH29" i="7"/>
  <c r="DA22" i="7"/>
  <c r="CM21" i="7"/>
  <c r="CL21" i="7"/>
  <c r="CO21" i="7"/>
  <c r="CR17" i="7"/>
  <c r="BI29" i="7"/>
  <c r="BB29" i="7"/>
  <c r="AG29" i="7"/>
  <c r="S29" i="7"/>
  <c r="I63" i="7"/>
  <c r="BW63" i="7" l="1"/>
  <c r="DA23" i="7"/>
  <c r="BQ29" i="7"/>
  <c r="CS23" i="7"/>
  <c r="L63" i="7"/>
  <c r="Z63" i="7"/>
  <c r="AA63" i="7" s="1"/>
  <c r="AP29" i="7"/>
  <c r="BF84" i="7"/>
  <c r="CO56" i="7"/>
  <c r="CT34" i="7"/>
  <c r="CL62" i="7"/>
  <c r="F81" i="7"/>
  <c r="G81" i="7"/>
  <c r="AV56" i="7"/>
  <c r="CO81" i="7"/>
  <c r="CV81" i="7"/>
  <c r="AD87" i="7"/>
  <c r="AD90" i="7" s="1"/>
  <c r="M56" i="7"/>
  <c r="N56" i="7"/>
  <c r="BV84" i="7"/>
  <c r="BT63" i="7"/>
  <c r="BT87" i="7" s="1"/>
  <c r="BT90" i="7" s="1"/>
  <c r="BX56" i="7"/>
  <c r="W84" i="7"/>
  <c r="P87" i="7"/>
  <c r="P90" i="7" s="1"/>
  <c r="CM23" i="7"/>
  <c r="CT50" i="7"/>
  <c r="AR87" i="7"/>
  <c r="AR90" i="7" s="1"/>
  <c r="DA50" i="7"/>
  <c r="CQ81" i="7"/>
  <c r="BX29" i="7"/>
  <c r="BH84" i="7"/>
  <c r="CJ63" i="7"/>
  <c r="CS59" i="7"/>
  <c r="CT59" i="7"/>
  <c r="CR81" i="7"/>
  <c r="F56" i="7"/>
  <c r="CT54" i="7"/>
  <c r="AI56" i="7"/>
  <c r="D91" i="7"/>
  <c r="CS54" i="7"/>
  <c r="D84" i="7"/>
  <c r="D87" i="7"/>
  <c r="D90" i="7"/>
  <c r="CR33" i="7"/>
  <c r="CT33" i="7" s="1"/>
  <c r="U56" i="7"/>
  <c r="BY29" i="7"/>
  <c r="DA36" i="7"/>
  <c r="CT75" i="7"/>
  <c r="CQ63" i="7"/>
  <c r="I84" i="7"/>
  <c r="I87" i="7"/>
  <c r="I90" i="7" s="1"/>
  <c r="AG63" i="7"/>
  <c r="AG84" i="7" s="1"/>
  <c r="AI29" i="7"/>
  <c r="AH29" i="7"/>
  <c r="BI63" i="7"/>
  <c r="BI84" i="7" s="1"/>
  <c r="BK29" i="7"/>
  <c r="BJ29" i="7"/>
  <c r="CS21" i="7"/>
  <c r="CT21" i="7"/>
  <c r="DA21" i="7"/>
  <c r="CM34" i="7"/>
  <c r="CL34" i="7"/>
  <c r="AP56" i="7"/>
  <c r="AO56" i="7"/>
  <c r="BR56" i="7"/>
  <c r="BQ56" i="7"/>
  <c r="CT62" i="7"/>
  <c r="CS62" i="7"/>
  <c r="AI81" i="7"/>
  <c r="AH81" i="7"/>
  <c r="AW81" i="7"/>
  <c r="AV81" i="7"/>
  <c r="AN63" i="7"/>
  <c r="BP63" i="7"/>
  <c r="BP84" i="7" s="1"/>
  <c r="CM17" i="7"/>
  <c r="CL17" i="7"/>
  <c r="CK29" i="7"/>
  <c r="CA87" i="7"/>
  <c r="CA90" i="7" s="1"/>
  <c r="CA84" i="7"/>
  <c r="AB63" i="7"/>
  <c r="BC81" i="7"/>
  <c r="BD81" i="7"/>
  <c r="BX81" i="7"/>
  <c r="BY81" i="7"/>
  <c r="CK81" i="7"/>
  <c r="CL75" i="7"/>
  <c r="CM75" i="7"/>
  <c r="AA81" i="7"/>
  <c r="AB81" i="7"/>
  <c r="BW84" i="7"/>
  <c r="BX63" i="7"/>
  <c r="BY63" i="7"/>
  <c r="CS75" i="7"/>
  <c r="S63" i="7"/>
  <c r="U29" i="7"/>
  <c r="T29" i="7"/>
  <c r="S84" i="7"/>
  <c r="BB63" i="7"/>
  <c r="BC29" i="7"/>
  <c r="BD29" i="7"/>
  <c r="CS17" i="7"/>
  <c r="CT17" i="7"/>
  <c r="DA17" i="7"/>
  <c r="CH63" i="7"/>
  <c r="CO29" i="7"/>
  <c r="BJ56" i="7"/>
  <c r="BK56" i="7"/>
  <c r="CS25" i="7"/>
  <c r="CT25" i="7"/>
  <c r="DA25" i="7"/>
  <c r="G29" i="7"/>
  <c r="CR29" i="7"/>
  <c r="F29" i="7"/>
  <c r="E63" i="7"/>
  <c r="E84" i="7" s="1"/>
  <c r="AH33" i="7"/>
  <c r="AI33" i="7"/>
  <c r="AV33" i="7"/>
  <c r="AW33" i="7"/>
  <c r="M81" i="7"/>
  <c r="L84" i="7"/>
  <c r="N81" i="7"/>
  <c r="BK81" i="7"/>
  <c r="BJ81" i="7"/>
  <c r="N63" i="7"/>
  <c r="M63" i="7"/>
  <c r="AU63" i="7"/>
  <c r="AW29" i="7"/>
  <c r="AV29" i="7"/>
  <c r="CC87" i="7"/>
  <c r="CC90" i="7" s="1"/>
  <c r="CC84" i="7"/>
  <c r="BO87" i="7"/>
  <c r="BO90" i="7" s="1"/>
  <c r="BO84" i="7"/>
  <c r="CX63" i="7"/>
  <c r="CY63" i="7"/>
  <c r="CZ63" i="7" s="1"/>
  <c r="CD84" i="7"/>
  <c r="CF63" i="7"/>
  <c r="CE63" i="7"/>
  <c r="CK33" i="7"/>
  <c r="CS52" i="7"/>
  <c r="CT52" i="7"/>
  <c r="DA52" i="7"/>
  <c r="CM52" i="7"/>
  <c r="CL52" i="7"/>
  <c r="CK56" i="7"/>
  <c r="CM54" i="7"/>
  <c r="CL54" i="7"/>
  <c r="CS30" i="7"/>
  <c r="CT30" i="7"/>
  <c r="DA30" i="7"/>
  <c r="CM36" i="7"/>
  <c r="CL36" i="7"/>
  <c r="CV56" i="7"/>
  <c r="CR56" i="7"/>
  <c r="DA56" i="7" s="1"/>
  <c r="CL59" i="7"/>
  <c r="CM59" i="7"/>
  <c r="CS79" i="7"/>
  <c r="CT79" i="7"/>
  <c r="DA79" i="7"/>
  <c r="BQ81" i="7"/>
  <c r="BR81" i="7"/>
  <c r="CM79" i="7"/>
  <c r="CL79" i="7"/>
  <c r="CV29" i="7"/>
  <c r="Z84" i="7" l="1"/>
  <c r="AA84" i="7" s="1"/>
  <c r="CS81" i="7"/>
  <c r="BT84" i="7"/>
  <c r="DA33" i="7"/>
  <c r="CS33" i="7"/>
  <c r="CT81" i="7"/>
  <c r="CJ84" i="7"/>
  <c r="DA81" i="7"/>
  <c r="BQ84" i="7"/>
  <c r="BR84" i="7"/>
  <c r="CL56" i="7"/>
  <c r="CM56" i="7"/>
  <c r="CL33" i="7"/>
  <c r="CM33" i="7"/>
  <c r="CZ84" i="7"/>
  <c r="CY84" i="7"/>
  <c r="CX84" i="7"/>
  <c r="AV63" i="7"/>
  <c r="AW63" i="7"/>
  <c r="CQ84" i="7"/>
  <c r="U84" i="7"/>
  <c r="T84" i="7"/>
  <c r="CL81" i="7"/>
  <c r="CM81" i="7"/>
  <c r="BR63" i="7"/>
  <c r="BQ63" i="7"/>
  <c r="AU84" i="7"/>
  <c r="AH63" i="7"/>
  <c r="AI63" i="7"/>
  <c r="CT56" i="7"/>
  <c r="CS56" i="7"/>
  <c r="CE84" i="7"/>
  <c r="CF84" i="7"/>
  <c r="BK84" i="7"/>
  <c r="BJ84" i="7"/>
  <c r="M84" i="7"/>
  <c r="N84" i="7"/>
  <c r="E91" i="7"/>
  <c r="E87" i="7"/>
  <c r="E90" i="7"/>
  <c r="CR63" i="7"/>
  <c r="DA63" i="7" s="1"/>
  <c r="DB63" i="7" s="1"/>
  <c r="F63" i="7"/>
  <c r="G63" i="7"/>
  <c r="CS29" i="7"/>
  <c r="CT29" i="7"/>
  <c r="DA29" i="7"/>
  <c r="CH84" i="7"/>
  <c r="CO84" i="7" s="1"/>
  <c r="CH87" i="7"/>
  <c r="CH90" i="7" s="1"/>
  <c r="CO63" i="7"/>
  <c r="CO87" i="7" s="1"/>
  <c r="CO90" i="7" s="1"/>
  <c r="BD63" i="7"/>
  <c r="BC63" i="7"/>
  <c r="T63" i="7"/>
  <c r="U63" i="7"/>
  <c r="BY84" i="7"/>
  <c r="BX84" i="7"/>
  <c r="AB84" i="7"/>
  <c r="BB84" i="7"/>
  <c r="CK63" i="7"/>
  <c r="CK92" i="7" s="1"/>
  <c r="CM29" i="7"/>
  <c r="CL29" i="7"/>
  <c r="AP63" i="7"/>
  <c r="AO63" i="7"/>
  <c r="AN84" i="7"/>
  <c r="AI84" i="7"/>
  <c r="AH84" i="7"/>
  <c r="BJ63" i="7"/>
  <c r="BK63" i="7"/>
  <c r="CV63" i="7"/>
  <c r="CV87" i="7" s="1"/>
  <c r="CV90" i="7" s="1"/>
  <c r="CR84" i="7" l="1"/>
  <c r="DA84" i="7" s="1"/>
  <c r="CV84" i="7"/>
  <c r="CL63" i="7"/>
  <c r="CM63" i="7"/>
  <c r="G84" i="7"/>
  <c r="F84" i="7"/>
  <c r="F90" i="7"/>
  <c r="F91" i="7"/>
  <c r="F87" i="7"/>
  <c r="CQ87" i="7" s="1"/>
  <c r="CK84" i="7"/>
  <c r="AO84" i="7"/>
  <c r="AP84" i="7"/>
  <c r="BC84" i="7"/>
  <c r="BD84" i="7"/>
  <c r="G91" i="7"/>
  <c r="G87" i="7"/>
  <c r="G90" i="7"/>
  <c r="CT63" i="7"/>
  <c r="CS63" i="7"/>
  <c r="AW84" i="7"/>
  <c r="AV84" i="7"/>
  <c r="CQ90" i="7" l="1"/>
  <c r="CS84" i="7"/>
  <c r="CT84" i="7"/>
  <c r="CM84" i="7"/>
  <c r="CL84" i="7"/>
  <c r="I64" i="9" l="1"/>
  <c r="I66" i="9" s="1"/>
  <c r="I69" i="9" s="1"/>
</calcChain>
</file>

<file path=xl/comments1.xml><?xml version="1.0" encoding="utf-8"?>
<comments xmlns="http://schemas.openxmlformats.org/spreadsheetml/2006/main">
  <authors>
    <author>EndUser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EndUser:</t>
        </r>
        <r>
          <rPr>
            <sz val="9"/>
            <color indexed="81"/>
            <rFont val="Tahoma"/>
            <family val="2"/>
          </rPr>
          <t xml:space="preserve">
Esta información debe estar acumulada al periodo que señala el encabezado</t>
        </r>
      </text>
    </comment>
  </commentList>
</comments>
</file>

<file path=xl/sharedStrings.xml><?xml version="1.0" encoding="utf-8"?>
<sst xmlns="http://schemas.openxmlformats.org/spreadsheetml/2006/main" count="800" uniqueCount="154">
  <si>
    <t>Art</t>
  </si>
  <si>
    <t>Concepto</t>
  </si>
  <si>
    <t>TOTAL</t>
  </si>
  <si>
    <t>IMPUESTOS SOBRE LOS INGRESOS</t>
  </si>
  <si>
    <t>Entretenimiento Públicos Municipales</t>
  </si>
  <si>
    <t>IMPUESTOS SORE EL PATRIMONIO</t>
  </si>
  <si>
    <t>Predial</t>
  </si>
  <si>
    <t>Traslado de Dominio</t>
  </si>
  <si>
    <t>Fusión, Subdivisión y Relotificación de Predios</t>
  </si>
  <si>
    <t>ACCESORIOS DE IMPUESTOS</t>
  </si>
  <si>
    <t>Accesorios de Impuestos</t>
  </si>
  <si>
    <t>OTROS IMPUESTOS</t>
  </si>
  <si>
    <t>Impuesto para Educación y Obras Públicas Municipales</t>
  </si>
  <si>
    <t>IMPUESTOS DE EJERCICIOS ANTERIORES</t>
  </si>
  <si>
    <t>TOTAL DE IMPUESTOS</t>
  </si>
  <si>
    <t>CONTRIBUCIONES DE MEJORA</t>
  </si>
  <si>
    <t>Contribuciones de Mejoras</t>
  </si>
  <si>
    <t>Contribuciones de Mejoras de Ejercicios Anteriores</t>
  </si>
  <si>
    <t>TOTAL CONTRIBUCIONES DE MEJORA</t>
  </si>
  <si>
    <t>DERECHOS POR EL USO, GOCE, APROVECHAMIENTO, EXPLOTACIÓN DE BIENES</t>
  </si>
  <si>
    <t>Uso, goce, aprovechamiento o explotación de bienes</t>
  </si>
  <si>
    <t>DERECHOS POR LA PRESTACION DE SERVICIOS</t>
  </si>
  <si>
    <t>Servicios relacionados con Licencia Municipal de Funcionamiento</t>
  </si>
  <si>
    <t>Servicios prestados relacionados con Construcciones y Urbanizaciones</t>
  </si>
  <si>
    <t>Servicio de Agua Potable</t>
  </si>
  <si>
    <t>Servicio de Alumbrado Público</t>
  </si>
  <si>
    <t>Servicios prestados por el Registro Civil</t>
  </si>
  <si>
    <t>Servicios Prestados por Autoridades de Seguridad Pública</t>
  </si>
  <si>
    <t>Servicios Públicos Municipales</t>
  </si>
  <si>
    <t>Servicios prestados por Panteones Municipales</t>
  </si>
  <si>
    <t>Servicios prestados por el Rastro Municipal</t>
  </si>
  <si>
    <t>Servicios prestados en Mercados Municipales</t>
  </si>
  <si>
    <t>Servicios prestados por la Secretaría del Ayuntamiento</t>
  </si>
  <si>
    <t>Servicio de regisro de Fierros Quemadores y su renovación</t>
  </si>
  <si>
    <t>Por los servicios prestados por otras Autoridades Municipales</t>
  </si>
  <si>
    <t>ACCESORIOS DE DERECHOS</t>
  </si>
  <si>
    <t>Accesorios de Derechos</t>
  </si>
  <si>
    <t>OTROS DERECHOS</t>
  </si>
  <si>
    <t>Otros Derechos</t>
  </si>
  <si>
    <t>DERECHOS DE EJERCICIOS ANTERIORES</t>
  </si>
  <si>
    <t>Derechos de Ejercicios Anteriores</t>
  </si>
  <si>
    <t>TOTAL DE DERECHOS</t>
  </si>
  <si>
    <t>Productos de Tipo Corriente</t>
  </si>
  <si>
    <t>TOTAL DE PRODUCTOS</t>
  </si>
  <si>
    <t>Aprovechamiento de Tipo Corriente</t>
  </si>
  <si>
    <t>TOTAL DE APROVECHAMIENTOS</t>
  </si>
  <si>
    <t>INGRESOS PROPIOS</t>
  </si>
  <si>
    <t>PARTICIPACIONES FEDERALES</t>
  </si>
  <si>
    <t>Fondo General de Participaciones</t>
  </si>
  <si>
    <t>Fondo de Fomento Municipal</t>
  </si>
  <si>
    <t>Por el Impuesto Especial sobre Producción y Servicios</t>
  </si>
  <si>
    <t>Fondo de Fiscalización</t>
  </si>
  <si>
    <t>Incentivos a la Venta Final de Gasolinas y Diesel</t>
  </si>
  <si>
    <t>Por el Impuesto Federal sobre Tenencia o uso de vehículos</t>
  </si>
  <si>
    <t>Por el Impuesto sobre Automóviles Nuevos</t>
  </si>
  <si>
    <t>Impuesto por la Venta de Bienes cuya Enajenación se encuentra Gravada por la Ley del I.E.P.S.</t>
  </si>
  <si>
    <t>Reserva de Contingencia</t>
  </si>
  <si>
    <t>Otras Participaciones</t>
  </si>
  <si>
    <t>TOTAL PARTICIPACIONES FEDERALES</t>
  </si>
  <si>
    <t>APORTACIONES FEDERALES</t>
  </si>
  <si>
    <t>Fondo de Aportaciones para la Infraestructura Social Municipal</t>
  </si>
  <si>
    <t>Fondo de Aportaciones para el Fortalecimiento de los Municipios</t>
  </si>
  <si>
    <t>TOTAL APORTACIONES FEDERALES</t>
  </si>
  <si>
    <t>INGRESOS FEDERALES POR CONVENIOS</t>
  </si>
  <si>
    <t>INGRESOS FEDERALES</t>
  </si>
  <si>
    <t>TRANSFERENCIAS, ASIGNACIONES, SUBSIDIOS Y OTRAS AYUDAS</t>
  </si>
  <si>
    <t>INGRESOS DERIVADOS DE FINANCIMIENTO</t>
  </si>
  <si>
    <t>INGRESOS TOTALES</t>
  </si>
  <si>
    <t>INGRESOS ADICIONALES POR MES</t>
  </si>
  <si>
    <t>INGRESOS ADICIONALES REALES</t>
  </si>
  <si>
    <t>ENERO</t>
  </si>
  <si>
    <t>Ppto</t>
  </si>
  <si>
    <t>Real</t>
  </si>
  <si>
    <t>Diferencia</t>
  </si>
  <si>
    <t>%</t>
  </si>
  <si>
    <t>FEBRERO</t>
  </si>
  <si>
    <t>MARZO</t>
  </si>
  <si>
    <t>ABRIL</t>
  </si>
  <si>
    <t>MAYO</t>
  </si>
  <si>
    <t>JUNIO</t>
  </si>
  <si>
    <t>JULIO</t>
  </si>
  <si>
    <t>AGOSTO</t>
  </si>
  <si>
    <t>PROY ANUAL</t>
  </si>
  <si>
    <t>PPTO
OCT-DIC</t>
  </si>
  <si>
    <t>SEPTIEMBRE</t>
  </si>
  <si>
    <t>OCTUBRE</t>
  </si>
  <si>
    <t>NOVIEMBRE</t>
  </si>
  <si>
    <t>DICIEMBRE</t>
  </si>
  <si>
    <t>PROY 
OCT-DIC</t>
  </si>
  <si>
    <t>PERIODO ENE-DIC</t>
  </si>
  <si>
    <t>ANUAL</t>
  </si>
  <si>
    <t>CONCEPTO</t>
  </si>
  <si>
    <t>Total de Impuestos</t>
  </si>
  <si>
    <t>Total Contribuciones de Mejora</t>
  </si>
  <si>
    <t>Total Derechos</t>
  </si>
  <si>
    <t>Total Participaciones y Aportaciones</t>
  </si>
  <si>
    <t>Total Productos</t>
  </si>
  <si>
    <t>Total Aprovechamientos</t>
  </si>
  <si>
    <t>Servicio de registro de Fierros Quemadores y su renovación</t>
  </si>
  <si>
    <t>INGRESOS POR CONVENIOS</t>
  </si>
  <si>
    <t>Ingresos Federales por Convenios</t>
  </si>
  <si>
    <t>Ingresos Estatales por Convenios</t>
  </si>
  <si>
    <t>Ingresos Municipales por Convenios</t>
  </si>
  <si>
    <t>TOTAL DE INGRESOS POR CONVENIOS</t>
  </si>
  <si>
    <t>APROVECHAMIENTOS</t>
  </si>
  <si>
    <t>PRODUCTOS</t>
  </si>
  <si>
    <t>DERECHOS</t>
  </si>
  <si>
    <t>IMPUESTOS</t>
  </si>
  <si>
    <t>PERIODO ENERO-OCTUBRE</t>
  </si>
  <si>
    <t>PERIODO (ENE-NOV)</t>
  </si>
  <si>
    <t>Notas:</t>
  </si>
  <si>
    <t>1. Información ingresos reales al 31 diciembre 2018</t>
  </si>
  <si>
    <t>2. Información presupuestal 2019</t>
  </si>
  <si>
    <t xml:space="preserve"> CONTRIBUCIONES DE MEJORA</t>
  </si>
  <si>
    <t xml:space="preserve"> CONVENIOS</t>
  </si>
  <si>
    <t>Productos</t>
  </si>
  <si>
    <t>2. Información 2019 al cierre contable de mayo</t>
  </si>
  <si>
    <t>Aprovechamientos</t>
  </si>
  <si>
    <t>PARTICIPACIONES Y APORTACIONES</t>
  </si>
  <si>
    <t>Municipio de Corregidora Querétaro</t>
  </si>
  <si>
    <t>(Pesos)</t>
  </si>
  <si>
    <t>Rubro de Ingresos</t>
  </si>
  <si>
    <t>Estimado</t>
  </si>
  <si>
    <t>Ampliaciones y Reducciones</t>
  </si>
  <si>
    <t>Modificado</t>
  </si>
  <si>
    <t>Devengado</t>
  </si>
  <si>
    <t>Recaudado</t>
  </si>
  <si>
    <t>Diferencia Analitico de Ingresos CONAC</t>
  </si>
  <si>
    <t>(1)</t>
  </si>
  <si>
    <t>(2)</t>
  </si>
  <si>
    <t>(3=1+2)</t>
  </si>
  <si>
    <t>(4)</t>
  </si>
  <si>
    <t>(5)</t>
  </si>
  <si>
    <t>(6=5-1)</t>
  </si>
  <si>
    <t>Impuestos</t>
  </si>
  <si>
    <t>Cuotas y Aportaciones de Seguridad Social</t>
  </si>
  <si>
    <t>Contribuciones de mejora</t>
  </si>
  <si>
    <t>Derechos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</si>
  <si>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</si>
  <si>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</si>
  <si>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</si>
  <si>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</si>
  <si>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</si>
  <si>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</t>
  </si>
  <si>
    <t>Estado Análitico de Ingresos por Fuente de Financiamiento</t>
  </si>
  <si>
    <t>Ingreso Estimado</t>
  </si>
  <si>
    <t>Ingresos del Gobierno</t>
  </si>
  <si>
    <t>Ingresos de Organismos y Empresas</t>
  </si>
  <si>
    <t xml:space="preserve">  Estado Analitico de Ingresos por Fuente de Financiamiento</t>
  </si>
  <si>
    <t xml:space="preserve">Diferencia </t>
  </si>
  <si>
    <t xml:space="preserve">Estado Analítico de Ingresos Presupuestales </t>
  </si>
  <si>
    <t xml:space="preserve">Dirección de Ingresos </t>
  </si>
  <si>
    <t>Secretaría de Tesorería y Finanzas</t>
  </si>
  <si>
    <t>Del  31 de enero 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</si>
</sst>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0.0%"/>
    <numFmt numFmtId="167" formatCode="\$#,##0;\-\$#,##0;\$#,##0"/>
    <numFmt numFmtId="168" formatCode="#,##0_ ;\-#,##0\ "/>
    <numFmt numFmtId="169" formatCode="General_)"/>
    <numFmt numFmtId="170" formatCode="_ * #,##0.00_ ;_ * \-#,##0.00_ ;_ * &quot;-&quot;??_ ;_ @_ "/>
    <numFmt numFmtId="171" formatCode="_ &quot;$&quot;\ * #,##0.00_ ;_ &quot;$&quot;\ * \-#,##0.00_ ;_ &quot;$&quot;\ * &quot;-&quot;??_ ;_ @_ 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i/>
      <sz val="10"/>
      <color rgb="FFFFFFFF"/>
      <name val="Arial Narrow"/>
      <family val="2"/>
    </font>
    <font>
      <sz val="10"/>
      <color rgb="FF000000"/>
      <name val="Arial Narrow"/>
      <family val="2"/>
    </font>
    <font>
      <b/>
      <sz val="14"/>
      <color rgb="FF000000"/>
      <name val="Arial Narrow"/>
      <family val="2"/>
    </font>
    <font>
      <sz val="12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sz val="9"/>
      <color rgb="FF000000"/>
      <name val="Arial Narrow"/>
      <family val="2"/>
    </font>
    <font>
      <b/>
      <i/>
      <sz val="10"/>
      <color rgb="FF000000"/>
      <name val="Arial Narrow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b/>
      <sz val="11"/>
      <color rgb="FFFFFFFF"/>
      <name val="Calibri"/>
      <family val="2"/>
    </font>
    <font>
      <sz val="10"/>
      <color rgb="FFFFFFFF"/>
      <name val="Arial Narrow"/>
      <family val="2"/>
    </font>
    <font>
      <b/>
      <sz val="9"/>
      <color rgb="FFFFFFFF"/>
      <name val="Arial Narrow"/>
      <family val="2"/>
    </font>
    <font>
      <sz val="11"/>
      <name val="Arial Narrow"/>
      <family val="2"/>
    </font>
    <font>
      <b/>
      <sz val="10"/>
      <color rgb="FFFFFFFF"/>
      <name val="Arial Narrow"/>
      <family val="2"/>
    </font>
    <font>
      <sz val="9"/>
      <color theme="1"/>
      <name val="Century Gothic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0"/>
      <name val="Arial Narrow"/>
      <family val="2"/>
    </font>
    <font>
      <b/>
      <sz val="12"/>
      <color rgb="FF000000"/>
      <name val="Arial Narrow"/>
      <family val="2"/>
    </font>
    <font>
      <b/>
      <i/>
      <sz val="11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theme="0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sz val="10"/>
      <color theme="0"/>
      <name val="Arial Narrow"/>
      <family val="2"/>
    </font>
    <font>
      <b/>
      <i/>
      <sz val="10"/>
      <color theme="5" tint="-0.249977111117893"/>
      <name val="Arial Narrow"/>
      <family val="2"/>
    </font>
    <font>
      <b/>
      <i/>
      <sz val="10"/>
      <color theme="0"/>
      <name val="Arial Narrow"/>
      <family val="2"/>
    </font>
    <font>
      <b/>
      <i/>
      <sz val="10"/>
      <color rgb="FFFF0066"/>
      <name val="Arial Narrow"/>
      <family val="2"/>
    </font>
    <font>
      <b/>
      <sz val="10"/>
      <color rgb="FF0070C0"/>
      <name val="Arial Narrow"/>
      <family val="2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ourier New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0"/>
      <color rgb="FFFF0000"/>
      <name val="Arial Narrow"/>
      <family val="2"/>
    </font>
    <font>
      <b/>
      <sz val="9"/>
      <color theme="1"/>
      <name val="Arial Narrow"/>
      <family val="2"/>
    </font>
    <font>
      <b/>
      <sz val="11"/>
      <color rgb="FFFFFFFF"/>
      <name val="Arial Narrow"/>
      <family val="2"/>
    </font>
    <font>
      <b/>
      <sz val="12"/>
      <color rgb="FFFFFFFF"/>
      <name val="Arial Narrow"/>
      <family val="2"/>
    </font>
    <font>
      <sz val="8"/>
      <color rgb="FF000000"/>
      <name val="Arial Narrow"/>
      <family val="2"/>
    </font>
    <font>
      <b/>
      <i/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262626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1" tint="0.1499984740745262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rgb="FF000000"/>
      </patternFill>
    </fill>
  </fills>
  <borders count="5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hair">
        <color indexed="64"/>
      </top>
      <bottom style="hair">
        <color indexed="64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 style="hair">
        <color indexed="64"/>
      </top>
      <bottom style="hair">
        <color indexed="64"/>
      </bottom>
      <diagonal/>
    </border>
    <border>
      <left style="thin">
        <color rgb="FF808080"/>
      </left>
      <right style="thin">
        <color theme="0" tint="-0.499984740745262"/>
      </right>
      <top style="thin">
        <color rgb="FF808080"/>
      </top>
      <bottom/>
      <diagonal/>
    </border>
    <border>
      <left style="thin">
        <color rgb="FF808080"/>
      </left>
      <right style="thin">
        <color theme="0" tint="-0.499984740745262"/>
      </right>
      <top/>
      <bottom/>
      <diagonal/>
    </border>
    <border>
      <left style="thin">
        <color rgb="FF808080"/>
      </left>
      <right style="thin">
        <color theme="0" tint="-0.499984740745262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rgb="FF808080"/>
      </bottom>
      <diagonal/>
    </border>
    <border>
      <left style="thin">
        <color theme="0"/>
      </left>
      <right style="thin">
        <color theme="0"/>
      </right>
      <top style="hair">
        <color indexed="64"/>
      </top>
      <bottom/>
      <diagonal/>
    </border>
    <border>
      <left style="thin">
        <color theme="0"/>
      </left>
      <right style="thin">
        <color theme="0" tint="-0.499984740745262"/>
      </right>
      <top style="hair">
        <color indexed="64"/>
      </top>
      <bottom/>
      <diagonal/>
    </border>
    <border>
      <left style="thin">
        <color indexed="64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rgb="FF808080"/>
      </right>
      <top/>
      <bottom/>
      <diagonal/>
    </border>
    <border>
      <left style="thin">
        <color indexed="64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9" fontId="44" fillId="0" borderId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45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9" fontId="4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50" applyNumberFormat="0" applyFill="0" applyAlignment="0" applyProtection="0"/>
    <xf numFmtId="0" fontId="57" fillId="0" borderId="51" applyNumberFormat="0" applyFill="0" applyAlignment="0" applyProtection="0"/>
    <xf numFmtId="0" fontId="58" fillId="0" borderId="52" applyNumberFormat="0" applyFill="0" applyAlignment="0" applyProtection="0"/>
    <xf numFmtId="0" fontId="58" fillId="0" borderId="0" applyNumberFormat="0" applyFill="0" applyBorder="0" applyAlignment="0" applyProtection="0"/>
    <xf numFmtId="0" fontId="59" fillId="18" borderId="0" applyNumberFormat="0" applyBorder="0" applyAlignment="0" applyProtection="0"/>
    <xf numFmtId="0" fontId="60" fillId="19" borderId="0" applyNumberFormat="0" applyBorder="0" applyAlignment="0" applyProtection="0"/>
    <xf numFmtId="0" fontId="61" fillId="20" borderId="0" applyNumberFormat="0" applyBorder="0" applyAlignment="0" applyProtection="0"/>
    <xf numFmtId="0" fontId="62" fillId="21" borderId="53" applyNumberFormat="0" applyAlignment="0" applyProtection="0"/>
    <xf numFmtId="0" fontId="63" fillId="22" borderId="54" applyNumberFormat="0" applyAlignment="0" applyProtection="0"/>
    <xf numFmtId="0" fontId="64" fillId="22" borderId="53" applyNumberFormat="0" applyAlignment="0" applyProtection="0"/>
    <xf numFmtId="0" fontId="65" fillId="0" borderId="55" applyNumberFormat="0" applyFill="0" applyAlignment="0" applyProtection="0"/>
    <xf numFmtId="0" fontId="66" fillId="23" borderId="56" applyNumberFormat="0" applyAlignment="0" applyProtection="0"/>
    <xf numFmtId="0" fontId="67" fillId="0" borderId="0" applyNumberFormat="0" applyFill="0" applyBorder="0" applyAlignment="0" applyProtection="0"/>
    <xf numFmtId="0" fontId="1" fillId="24" borderId="57" applyNumberFormat="0" applyFont="0" applyAlignment="0" applyProtection="0"/>
    <xf numFmtId="0" fontId="68" fillId="0" borderId="0" applyNumberFormat="0" applyFill="0" applyBorder="0" applyAlignment="0" applyProtection="0"/>
    <xf numFmtId="0" fontId="69" fillId="0" borderId="58" applyNumberFormat="0" applyFill="0" applyAlignment="0" applyProtection="0"/>
    <xf numFmtId="0" fontId="7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0" fillId="28" borderId="0" applyNumberFormat="0" applyBorder="0" applyAlignment="0" applyProtection="0"/>
    <xf numFmtId="0" fontId="7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0" fillId="32" borderId="0" applyNumberFormat="0" applyBorder="0" applyAlignment="0" applyProtection="0"/>
    <xf numFmtId="0" fontId="7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70" fillId="36" borderId="0" applyNumberFormat="0" applyBorder="0" applyAlignment="0" applyProtection="0"/>
    <xf numFmtId="0" fontId="70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70" fillId="40" borderId="0" applyNumberFormat="0" applyBorder="0" applyAlignment="0" applyProtection="0"/>
    <xf numFmtId="0" fontId="70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70" fillId="44" borderId="0" applyNumberFormat="0" applyBorder="0" applyAlignment="0" applyProtection="0"/>
    <xf numFmtId="0" fontId="70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70" fillId="48" borderId="0" applyNumberFormat="0" applyBorder="0" applyAlignment="0" applyProtection="0"/>
    <xf numFmtId="44" fontId="1" fillId="0" borderId="0" applyFont="0" applyFill="0" applyBorder="0" applyAlignment="0" applyProtection="0"/>
  </cellStyleXfs>
  <cellXfs count="462">
    <xf numFmtId="0" fontId="0" fillId="0" borderId="0" xfId="0"/>
    <xf numFmtId="165" fontId="3" fillId="0" borderId="1" xfId="1" applyNumberFormat="1" applyFont="1" applyFill="1" applyBorder="1" applyAlignment="1">
      <alignment vertical="center"/>
    </xf>
    <xf numFmtId="165" fontId="2" fillId="0" borderId="2" xfId="1" applyNumberFormat="1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vertical="center"/>
    </xf>
    <xf numFmtId="165" fontId="4" fillId="0" borderId="3" xfId="1" applyNumberFormat="1" applyFont="1" applyFill="1" applyBorder="1" applyAlignment="1">
      <alignment vertical="center"/>
    </xf>
    <xf numFmtId="165" fontId="2" fillId="0" borderId="3" xfId="1" applyNumberFormat="1" applyFont="1" applyFill="1" applyBorder="1" applyAlignment="1">
      <alignment vertical="center"/>
    </xf>
    <xf numFmtId="165" fontId="4" fillId="3" borderId="4" xfId="1" applyNumberFormat="1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vertical="center" wrapText="1"/>
    </xf>
    <xf numFmtId="165" fontId="6" fillId="4" borderId="4" xfId="1" applyNumberFormat="1" applyFont="1" applyFill="1" applyBorder="1" applyAlignment="1">
      <alignment vertical="center"/>
    </xf>
    <xf numFmtId="165" fontId="5" fillId="0" borderId="3" xfId="1" applyNumberFormat="1" applyFont="1" applyFill="1" applyBorder="1" applyAlignment="1">
      <alignment vertical="center"/>
    </xf>
    <xf numFmtId="165" fontId="4" fillId="3" borderId="3" xfId="1" applyNumberFormat="1" applyFont="1" applyFill="1" applyBorder="1" applyAlignment="1">
      <alignment vertical="center"/>
    </xf>
    <xf numFmtId="165" fontId="6" fillId="4" borderId="3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3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11" fillId="0" borderId="9" xfId="0" applyFont="1" applyFill="1" applyBorder="1" applyAlignment="1">
      <alignment horizontal="center" vertical="center"/>
    </xf>
    <xf numFmtId="0" fontId="7" fillId="0" borderId="10" xfId="0" applyFont="1" applyFill="1" applyBorder="1"/>
    <xf numFmtId="0" fontId="12" fillId="0" borderId="1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66" fontId="2" fillId="0" borderId="2" xfId="3" applyNumberFormat="1" applyFont="1" applyFill="1" applyBorder="1" applyAlignment="1">
      <alignment vertical="center"/>
    </xf>
    <xf numFmtId="165" fontId="3" fillId="0" borderId="2" xfId="1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indent="4"/>
    </xf>
    <xf numFmtId="0" fontId="7" fillId="0" borderId="0" xfId="0" applyFont="1" applyFill="1" applyBorder="1" applyAlignment="1">
      <alignment vertical="center"/>
    </xf>
    <xf numFmtId="166" fontId="3" fillId="0" borderId="3" xfId="3" applyNumberFormat="1" applyFont="1" applyFill="1" applyBorder="1" applyAlignment="1">
      <alignment vertical="center"/>
    </xf>
    <xf numFmtId="165" fontId="3" fillId="0" borderId="4" xfId="1" applyNumberFormat="1" applyFont="1" applyFill="1" applyBorder="1" applyAlignment="1">
      <alignment vertical="center"/>
    </xf>
    <xf numFmtId="165" fontId="3" fillId="0" borderId="12" xfId="1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166" fontId="2" fillId="0" borderId="3" xfId="3" applyNumberFormat="1" applyFont="1" applyFill="1" applyBorder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vertical="center"/>
    </xf>
    <xf numFmtId="166" fontId="4" fillId="3" borderId="3" xfId="3" applyNumberFormat="1" applyFont="1" applyFill="1" applyBorder="1" applyAlignment="1">
      <alignment vertical="center"/>
    </xf>
    <xf numFmtId="165" fontId="4" fillId="3" borderId="12" xfId="1" applyNumberFormat="1" applyFont="1" applyFill="1" applyBorder="1" applyAlignment="1">
      <alignment vertical="center"/>
    </xf>
    <xf numFmtId="165" fontId="2" fillId="0" borderId="4" xfId="1" applyNumberFormat="1" applyFont="1" applyFill="1" applyBorder="1" applyAlignment="1">
      <alignment vertical="center"/>
    </xf>
    <xf numFmtId="165" fontId="2" fillId="0" borderId="12" xfId="1" applyNumberFormat="1" applyFont="1" applyFill="1" applyBorder="1" applyAlignment="1">
      <alignment vertical="center"/>
    </xf>
    <xf numFmtId="4" fontId="13" fillId="0" borderId="0" xfId="0" applyNumberFormat="1" applyFont="1" applyFill="1" applyBorder="1"/>
    <xf numFmtId="0" fontId="7" fillId="0" borderId="4" xfId="0" applyFont="1" applyFill="1" applyBorder="1" applyAlignment="1">
      <alignment vertical="center"/>
    </xf>
    <xf numFmtId="167" fontId="15" fillId="0" borderId="0" xfId="0" applyNumberFormat="1" applyFont="1" applyFill="1" applyBorder="1"/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right" vertical="center"/>
    </xf>
    <xf numFmtId="166" fontId="6" fillId="4" borderId="3" xfId="3" applyNumberFormat="1" applyFont="1" applyFill="1" applyBorder="1" applyAlignment="1">
      <alignment vertical="center"/>
    </xf>
    <xf numFmtId="165" fontId="6" fillId="4" borderId="12" xfId="1" applyNumberFormat="1" applyFont="1" applyFill="1" applyBorder="1" applyAlignment="1">
      <alignment vertical="center"/>
    </xf>
    <xf numFmtId="166" fontId="7" fillId="0" borderId="0" xfId="3" applyNumberFormat="1" applyFont="1" applyFill="1" applyBorder="1" applyAlignment="1">
      <alignment vertical="center"/>
    </xf>
    <xf numFmtId="165" fontId="3" fillId="6" borderId="3" xfId="1" applyNumberFormat="1" applyFont="1" applyFill="1" applyBorder="1" applyAlignment="1">
      <alignment vertical="center"/>
    </xf>
    <xf numFmtId="43" fontId="6" fillId="4" borderId="8" xfId="1" applyNumberFormat="1" applyFont="1" applyFill="1" applyBorder="1" applyAlignment="1">
      <alignment vertical="center"/>
    </xf>
    <xf numFmtId="165" fontId="6" fillId="4" borderId="8" xfId="1" applyNumberFormat="1" applyFont="1" applyFill="1" applyBorder="1" applyAlignment="1">
      <alignment vertical="center"/>
    </xf>
    <xf numFmtId="43" fontId="6" fillId="4" borderId="13" xfId="1" applyNumberFormat="1" applyFont="1" applyFill="1" applyBorder="1" applyAlignment="1">
      <alignment vertical="center"/>
    </xf>
    <xf numFmtId="43" fontId="6" fillId="4" borderId="3" xfId="1" applyNumberFormat="1" applyFont="1" applyFill="1" applyBorder="1" applyAlignment="1">
      <alignment vertical="center"/>
    </xf>
    <xf numFmtId="0" fontId="3" fillId="0" borderId="0" xfId="0" applyFont="1" applyFill="1" applyBorder="1"/>
    <xf numFmtId="165" fontId="7" fillId="0" borderId="0" xfId="0" applyNumberFormat="1" applyFont="1" applyFill="1" applyBorder="1"/>
    <xf numFmtId="9" fontId="7" fillId="0" borderId="0" xfId="0" applyNumberFormat="1" applyFont="1" applyFill="1" applyBorder="1"/>
    <xf numFmtId="9" fontId="3" fillId="0" borderId="0" xfId="0" applyNumberFormat="1" applyFont="1" applyFill="1" applyBorder="1"/>
    <xf numFmtId="165" fontId="6" fillId="4" borderId="0" xfId="1" applyNumberFormat="1" applyFont="1" applyFill="1" applyBorder="1" applyAlignment="1">
      <alignment vertical="center"/>
    </xf>
    <xf numFmtId="165" fontId="2" fillId="4" borderId="0" xfId="1" applyNumberFormat="1" applyFont="1" applyFill="1" applyBorder="1" applyAlignment="1">
      <alignment vertical="center"/>
    </xf>
    <xf numFmtId="44" fontId="7" fillId="0" borderId="0" xfId="2" applyFont="1" applyFill="1" applyBorder="1" applyAlignment="1">
      <alignment horizontal="center" vertical="center"/>
    </xf>
    <xf numFmtId="44" fontId="7" fillId="0" borderId="0" xfId="2" applyFont="1" applyFill="1" applyBorder="1"/>
    <xf numFmtId="44" fontId="3" fillId="0" borderId="0" xfId="2" applyFont="1" applyFill="1" applyBorder="1"/>
    <xf numFmtId="166" fontId="7" fillId="0" borderId="0" xfId="3" applyNumberFormat="1" applyFont="1" applyFill="1" applyBorder="1"/>
    <xf numFmtId="0" fontId="3" fillId="6" borderId="0" xfId="0" applyFont="1" applyFill="1" applyBorder="1"/>
    <xf numFmtId="17" fontId="7" fillId="0" borderId="0" xfId="0" applyNumberFormat="1" applyFont="1" applyFill="1" applyBorder="1"/>
    <xf numFmtId="43" fontId="7" fillId="0" borderId="0" xfId="1" applyFont="1" applyFill="1" applyBorder="1"/>
    <xf numFmtId="165" fontId="2" fillId="6" borderId="3" xfId="1" applyNumberFormat="1" applyFont="1" applyFill="1" applyBorder="1" applyAlignment="1">
      <alignment vertical="center"/>
    </xf>
    <xf numFmtId="164" fontId="7" fillId="0" borderId="0" xfId="0" applyNumberFormat="1" applyFont="1" applyFill="1" applyBorder="1"/>
    <xf numFmtId="165" fontId="3" fillId="0" borderId="0" xfId="0" applyNumberFormat="1" applyFont="1" applyFill="1" applyBorder="1"/>
    <xf numFmtId="0" fontId="16" fillId="0" borderId="0" xfId="0" applyFont="1" applyFill="1" applyBorder="1"/>
    <xf numFmtId="0" fontId="17" fillId="5" borderId="9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165" fontId="4" fillId="6" borderId="3" xfId="1" applyNumberFormat="1" applyFont="1" applyFill="1" applyBorder="1" applyAlignment="1">
      <alignment vertical="center"/>
    </xf>
    <xf numFmtId="165" fontId="4" fillId="6" borderId="12" xfId="1" applyNumberFormat="1" applyFont="1" applyFill="1" applyBorder="1" applyAlignment="1">
      <alignment vertical="center"/>
    </xf>
    <xf numFmtId="0" fontId="12" fillId="6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165" fontId="3" fillId="6" borderId="12" xfId="1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right" vertical="center"/>
    </xf>
    <xf numFmtId="165" fontId="4" fillId="0" borderId="2" xfId="1" applyNumberFormat="1" applyFont="1" applyFill="1" applyBorder="1" applyAlignment="1">
      <alignment vertical="center"/>
    </xf>
    <xf numFmtId="165" fontId="19" fillId="4" borderId="3" xfId="1" applyNumberFormat="1" applyFont="1" applyFill="1" applyBorder="1" applyAlignment="1">
      <alignment vertical="center"/>
    </xf>
    <xf numFmtId="165" fontId="19" fillId="4" borderId="0" xfId="1" applyNumberFormat="1" applyFont="1" applyFill="1" applyBorder="1" applyAlignment="1">
      <alignment vertical="center"/>
    </xf>
    <xf numFmtId="165" fontId="4" fillId="0" borderId="12" xfId="1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7" fillId="5" borderId="20" xfId="0" applyFont="1" applyFill="1" applyBorder="1" applyAlignment="1">
      <alignment horizontal="center" vertical="center"/>
    </xf>
    <xf numFmtId="166" fontId="4" fillId="0" borderId="18" xfId="3" applyNumberFormat="1" applyFont="1" applyFill="1" applyBorder="1" applyAlignment="1">
      <alignment vertical="center"/>
    </xf>
    <xf numFmtId="166" fontId="3" fillId="0" borderId="19" xfId="3" applyNumberFormat="1" applyFont="1" applyFill="1" applyBorder="1" applyAlignment="1">
      <alignment vertical="center"/>
    </xf>
    <xf numFmtId="166" fontId="4" fillId="0" borderId="19" xfId="3" applyNumberFormat="1" applyFont="1" applyFill="1" applyBorder="1" applyAlignment="1">
      <alignment vertical="center"/>
    </xf>
    <xf numFmtId="166" fontId="4" fillId="6" borderId="19" xfId="3" applyNumberFormat="1" applyFont="1" applyFill="1" applyBorder="1" applyAlignment="1">
      <alignment vertical="center"/>
    </xf>
    <xf numFmtId="166" fontId="3" fillId="6" borderId="19" xfId="3" applyNumberFormat="1" applyFont="1" applyFill="1" applyBorder="1" applyAlignment="1">
      <alignment vertical="center"/>
    </xf>
    <xf numFmtId="165" fontId="3" fillId="6" borderId="1" xfId="1" applyNumberFormat="1" applyFont="1" applyFill="1" applyBorder="1" applyAlignment="1">
      <alignment vertical="center"/>
    </xf>
    <xf numFmtId="0" fontId="14" fillId="6" borderId="23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indent="4"/>
    </xf>
    <xf numFmtId="0" fontId="14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left" vertical="center" indent="4"/>
    </xf>
    <xf numFmtId="0" fontId="14" fillId="0" borderId="1" xfId="0" applyFont="1" applyFill="1" applyBorder="1" applyAlignment="1">
      <alignment vertical="center"/>
    </xf>
    <xf numFmtId="0" fontId="22" fillId="0" borderId="0" xfId="0" applyFont="1"/>
    <xf numFmtId="0" fontId="21" fillId="0" borderId="3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23" fillId="0" borderId="33" xfId="1" applyNumberFormat="1" applyFont="1" applyFill="1" applyBorder="1" applyAlignment="1">
      <alignment vertical="center"/>
    </xf>
    <xf numFmtId="0" fontId="22" fillId="0" borderId="34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165" fontId="18" fillId="0" borderId="33" xfId="1" applyNumberFormat="1" applyFont="1" applyFill="1" applyBorder="1" applyAlignment="1">
      <alignment vertical="center"/>
    </xf>
    <xf numFmtId="166" fontId="18" fillId="0" borderId="33" xfId="3" applyNumberFormat="1" applyFont="1" applyFill="1" applyBorder="1" applyAlignment="1">
      <alignment vertical="center"/>
    </xf>
    <xf numFmtId="0" fontId="21" fillId="0" borderId="34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166" fontId="23" fillId="0" borderId="33" xfId="3" applyNumberFormat="1" applyFont="1" applyFill="1" applyBorder="1" applyAlignment="1">
      <alignment vertical="center"/>
    </xf>
    <xf numFmtId="0" fontId="22" fillId="0" borderId="34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165" fontId="23" fillId="0" borderId="26" xfId="1" applyNumberFormat="1" applyFont="1" applyFill="1" applyBorder="1" applyAlignment="1">
      <alignment vertical="center"/>
    </xf>
    <xf numFmtId="166" fontId="23" fillId="0" borderId="26" xfId="3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165" fontId="24" fillId="7" borderId="33" xfId="1" applyNumberFormat="1" applyFont="1" applyFill="1" applyBorder="1" applyAlignment="1">
      <alignment vertical="center"/>
    </xf>
    <xf numFmtId="166" fontId="24" fillId="7" borderId="33" xfId="3" applyNumberFormat="1" applyFont="1" applyFill="1" applyBorder="1" applyAlignment="1">
      <alignment vertical="center"/>
    </xf>
    <xf numFmtId="43" fontId="7" fillId="0" borderId="0" xfId="0" applyNumberFormat="1" applyFont="1" applyFill="1" applyBorder="1" applyAlignment="1">
      <alignment vertical="center"/>
    </xf>
    <xf numFmtId="9" fontId="25" fillId="0" borderId="0" xfId="0" applyNumberFormat="1" applyFont="1" applyFill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2" fillId="0" borderId="33" xfId="0" applyFont="1" applyBorder="1" applyAlignment="1">
      <alignment horizontal="left" vertical="center" indent="4"/>
    </xf>
    <xf numFmtId="0" fontId="21" fillId="0" borderId="33" xfId="0" applyFont="1" applyBorder="1" applyAlignment="1">
      <alignment vertical="center"/>
    </xf>
    <xf numFmtId="0" fontId="21" fillId="0" borderId="33" xfId="0" applyFont="1" applyFill="1" applyBorder="1" applyAlignment="1">
      <alignment vertical="center"/>
    </xf>
    <xf numFmtId="0" fontId="22" fillId="0" borderId="33" xfId="0" applyFont="1" applyFill="1" applyBorder="1" applyAlignment="1">
      <alignment horizontal="left" vertical="center" indent="4"/>
    </xf>
    <xf numFmtId="0" fontId="22" fillId="0" borderId="33" xfId="0" applyFont="1" applyBorder="1" applyAlignment="1">
      <alignment horizontal="left" vertical="center" wrapText="1" indent="4"/>
    </xf>
    <xf numFmtId="165" fontId="22" fillId="0" borderId="0" xfId="0" applyNumberFormat="1" applyFont="1"/>
    <xf numFmtId="17" fontId="22" fillId="0" borderId="0" xfId="0" applyNumberFormat="1" applyFont="1"/>
    <xf numFmtId="43" fontId="22" fillId="0" borderId="0" xfId="1" applyFont="1"/>
    <xf numFmtId="4" fontId="22" fillId="0" borderId="0" xfId="0" applyNumberFormat="1" applyFont="1"/>
    <xf numFmtId="164" fontId="22" fillId="0" borderId="0" xfId="0" applyNumberFormat="1" applyFont="1"/>
    <xf numFmtId="165" fontId="23" fillId="8" borderId="33" xfId="1" applyNumberFormat="1" applyFont="1" applyFill="1" applyBorder="1" applyAlignment="1">
      <alignment vertical="center"/>
    </xf>
    <xf numFmtId="166" fontId="23" fillId="8" borderId="33" xfId="3" applyNumberFormat="1" applyFont="1" applyFill="1" applyBorder="1" applyAlignment="1">
      <alignment vertical="center"/>
    </xf>
    <xf numFmtId="2" fontId="3" fillId="6" borderId="1" xfId="1" applyNumberFormat="1" applyFont="1" applyFill="1" applyBorder="1" applyAlignment="1">
      <alignment vertical="center"/>
    </xf>
    <xf numFmtId="2" fontId="3" fillId="0" borderId="12" xfId="1" applyNumberFormat="1" applyFont="1" applyFill="1" applyBorder="1" applyAlignment="1">
      <alignment vertical="center"/>
    </xf>
    <xf numFmtId="2" fontId="3" fillId="0" borderId="3" xfId="1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vertical="center"/>
    </xf>
    <xf numFmtId="0" fontId="27" fillId="5" borderId="24" xfId="0" applyFont="1" applyFill="1" applyBorder="1" applyAlignment="1">
      <alignment horizontal="center" vertical="center"/>
    </xf>
    <xf numFmtId="165" fontId="27" fillId="5" borderId="17" xfId="1" applyNumberFormat="1" applyFont="1" applyFill="1" applyBorder="1" applyAlignment="1">
      <alignment vertical="center"/>
    </xf>
    <xf numFmtId="165" fontId="27" fillId="5" borderId="15" xfId="1" applyNumberFormat="1" applyFont="1" applyFill="1" applyBorder="1" applyAlignment="1">
      <alignment vertical="center"/>
    </xf>
    <xf numFmtId="166" fontId="27" fillId="5" borderId="21" xfId="3" applyNumberFormat="1" applyFont="1" applyFill="1" applyBorder="1" applyAlignment="1">
      <alignment vertical="center"/>
    </xf>
    <xf numFmtId="165" fontId="27" fillId="5" borderId="24" xfId="1" applyNumberFormat="1" applyFont="1" applyFill="1" applyBorder="1" applyAlignment="1">
      <alignment vertical="center"/>
    </xf>
    <xf numFmtId="2" fontId="27" fillId="5" borderId="17" xfId="1" applyNumberFormat="1" applyFont="1" applyFill="1" applyBorder="1" applyAlignment="1">
      <alignment vertical="center"/>
    </xf>
    <xf numFmtId="2" fontId="27" fillId="5" borderId="15" xfId="1" applyNumberFormat="1" applyFont="1" applyFill="1" applyBorder="1" applyAlignment="1">
      <alignment vertical="center"/>
    </xf>
    <xf numFmtId="0" fontId="19" fillId="9" borderId="1" xfId="0" applyFont="1" applyFill="1" applyBorder="1" applyAlignment="1">
      <alignment horizontal="center" vertical="center"/>
    </xf>
    <xf numFmtId="165" fontId="4" fillId="0" borderId="23" xfId="1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vertical="center"/>
    </xf>
    <xf numFmtId="165" fontId="4" fillId="6" borderId="1" xfId="1" applyNumberFormat="1" applyFont="1" applyFill="1" applyBorder="1" applyAlignment="1">
      <alignment vertical="center"/>
    </xf>
    <xf numFmtId="165" fontId="19" fillId="9" borderId="1" xfId="1" applyNumberFormat="1" applyFont="1" applyFill="1" applyBorder="1" applyAlignment="1">
      <alignment vertical="center"/>
    </xf>
    <xf numFmtId="2" fontId="18" fillId="0" borderId="33" xfId="1" applyNumberFormat="1" applyFont="1" applyFill="1" applyBorder="1" applyAlignment="1">
      <alignment vertical="center"/>
    </xf>
    <xf numFmtId="0" fontId="21" fillId="8" borderId="33" xfId="0" applyFont="1" applyFill="1" applyBorder="1" applyAlignment="1">
      <alignment horizontal="center" vertical="center"/>
    </xf>
    <xf numFmtId="3" fontId="30" fillId="0" borderId="0" xfId="0" applyNumberFormat="1" applyFont="1"/>
    <xf numFmtId="3" fontId="31" fillId="0" borderId="0" xfId="0" applyNumberFormat="1" applyFont="1"/>
    <xf numFmtId="4" fontId="20" fillId="2" borderId="0" xfId="0" applyNumberFormat="1" applyFont="1" applyFill="1" applyBorder="1"/>
    <xf numFmtId="0" fontId="0" fillId="0" borderId="0" xfId="0"/>
    <xf numFmtId="3" fontId="29" fillId="0" borderId="39" xfId="0" applyNumberFormat="1" applyFont="1" applyBorder="1"/>
    <xf numFmtId="3" fontId="4" fillId="2" borderId="4" xfId="4" applyNumberFormat="1" applyFont="1" applyFill="1" applyBorder="1" applyAlignment="1">
      <alignment vertical="center"/>
    </xf>
    <xf numFmtId="3" fontId="4" fillId="2" borderId="39" xfId="4" applyNumberFormat="1" applyFont="1" applyFill="1" applyBorder="1" applyAlignment="1">
      <alignment vertical="center"/>
    </xf>
    <xf numFmtId="3" fontId="4" fillId="0" borderId="39" xfId="0" applyNumberFormat="1" applyFont="1" applyBorder="1"/>
    <xf numFmtId="0" fontId="7" fillId="0" borderId="38" xfId="0" applyFont="1" applyFill="1" applyBorder="1" applyAlignment="1">
      <alignment horizontal="left" vertical="center" indent="4"/>
    </xf>
    <xf numFmtId="3" fontId="28" fillId="0" borderId="39" xfId="0" applyNumberFormat="1" applyFont="1" applyBorder="1"/>
    <xf numFmtId="3" fontId="3" fillId="0" borderId="4" xfId="4" applyNumberFormat="1" applyFont="1" applyFill="1" applyBorder="1" applyAlignment="1">
      <alignment vertical="center"/>
    </xf>
    <xf numFmtId="3" fontId="3" fillId="2" borderId="39" xfId="4" applyNumberFormat="1" applyFont="1" applyFill="1" applyBorder="1" applyAlignment="1">
      <alignment vertical="center"/>
    </xf>
    <xf numFmtId="3" fontId="4" fillId="2" borderId="38" xfId="4" applyNumberFormat="1" applyFont="1" applyFill="1" applyBorder="1" applyAlignment="1">
      <alignment vertical="center"/>
    </xf>
    <xf numFmtId="3" fontId="3" fillId="2" borderId="38" xfId="4" applyNumberFormat="1" applyFont="1" applyFill="1" applyBorder="1" applyAlignment="1">
      <alignment vertical="center"/>
    </xf>
    <xf numFmtId="2" fontId="29" fillId="0" borderId="39" xfId="0" applyNumberFormat="1" applyFont="1" applyBorder="1"/>
    <xf numFmtId="3" fontId="29" fillId="2" borderId="38" xfId="0" applyNumberFormat="1" applyFont="1" applyFill="1" applyBorder="1"/>
    <xf numFmtId="3" fontId="29" fillId="2" borderId="39" xfId="0" applyNumberFormat="1" applyFont="1" applyFill="1" applyBorder="1"/>
    <xf numFmtId="2" fontId="28" fillId="0" borderId="39" xfId="0" applyNumberFormat="1" applyFont="1" applyBorder="1"/>
    <xf numFmtId="3" fontId="3" fillId="0" borderId="39" xfId="4" applyNumberFormat="1" applyFont="1" applyFill="1" applyBorder="1" applyAlignment="1">
      <alignment vertical="center"/>
    </xf>
    <xf numFmtId="3" fontId="3" fillId="0" borderId="38" xfId="4" applyNumberFormat="1" applyFont="1" applyFill="1" applyBorder="1" applyAlignment="1">
      <alignment vertical="center"/>
    </xf>
    <xf numFmtId="3" fontId="4" fillId="0" borderId="39" xfId="4" applyNumberFormat="1" applyFont="1" applyFill="1" applyBorder="1" applyAlignment="1">
      <alignment vertical="center"/>
    </xf>
    <xf numFmtId="3" fontId="28" fillId="0" borderId="0" xfId="0" applyNumberFormat="1" applyFont="1" applyBorder="1"/>
    <xf numFmtId="0" fontId="7" fillId="0" borderId="38" xfId="0" applyFont="1" applyFill="1" applyBorder="1" applyAlignment="1">
      <alignment horizontal="left" vertical="center" wrapText="1" indent="4"/>
    </xf>
    <xf numFmtId="3" fontId="28" fillId="0" borderId="39" xfId="0" applyNumberFormat="1" applyFont="1" applyBorder="1" applyAlignment="1">
      <alignment horizontal="right" vertical="center"/>
    </xf>
    <xf numFmtId="3" fontId="3" fillId="0" borderId="4" xfId="4" applyNumberFormat="1" applyFont="1" applyFill="1" applyBorder="1" applyAlignment="1">
      <alignment horizontal="right" vertical="center"/>
    </xf>
    <xf numFmtId="3" fontId="3" fillId="0" borderId="39" xfId="4" applyNumberFormat="1" applyFont="1" applyFill="1" applyBorder="1" applyAlignment="1">
      <alignment horizontal="right" vertical="center"/>
    </xf>
    <xf numFmtId="2" fontId="3" fillId="0" borderId="4" xfId="4" applyNumberFormat="1" applyFont="1" applyFill="1" applyBorder="1" applyAlignment="1">
      <alignment vertical="center"/>
    </xf>
    <xf numFmtId="2" fontId="3" fillId="0" borderId="39" xfId="4" applyNumberFormat="1" applyFont="1" applyFill="1" applyBorder="1" applyAlignment="1">
      <alignment vertical="center"/>
    </xf>
    <xf numFmtId="3" fontId="3" fillId="2" borderId="4" xfId="4" applyNumberFormat="1" applyFont="1" applyFill="1" applyBorder="1" applyAlignment="1">
      <alignment vertical="center"/>
    </xf>
    <xf numFmtId="0" fontId="14" fillId="0" borderId="38" xfId="0" applyFont="1" applyFill="1" applyBorder="1" applyAlignment="1">
      <alignment vertical="center"/>
    </xf>
    <xf numFmtId="3" fontId="27" fillId="11" borderId="38" xfId="4" applyNumberFormat="1" applyFont="1" applyFill="1" applyBorder="1" applyAlignment="1">
      <alignment vertical="center"/>
    </xf>
    <xf numFmtId="3" fontId="27" fillId="11" borderId="39" xfId="4" applyNumberFormat="1" applyFont="1" applyFill="1" applyBorder="1" applyAlignment="1">
      <alignment vertical="center"/>
    </xf>
    <xf numFmtId="3" fontId="27" fillId="11" borderId="4" xfId="0" applyNumberFormat="1" applyFont="1" applyFill="1" applyBorder="1" applyAlignment="1">
      <alignment vertical="center"/>
    </xf>
    <xf numFmtId="3" fontId="27" fillId="11" borderId="4" xfId="4" applyNumberFormat="1" applyFont="1" applyFill="1" applyBorder="1" applyAlignment="1">
      <alignment vertical="center"/>
    </xf>
    <xf numFmtId="3" fontId="27" fillId="10" borderId="39" xfId="0" applyNumberFormat="1" applyFont="1" applyFill="1" applyBorder="1"/>
    <xf numFmtId="3" fontId="27" fillId="10" borderId="4" xfId="4" applyNumberFormat="1" applyFont="1" applyFill="1" applyBorder="1" applyAlignment="1">
      <alignment vertical="center"/>
    </xf>
    <xf numFmtId="3" fontId="27" fillId="10" borderId="39" xfId="4" applyNumberFormat="1" applyFont="1" applyFill="1" applyBorder="1" applyAlignment="1">
      <alignment vertical="center"/>
    </xf>
    <xf numFmtId="0" fontId="12" fillId="0" borderId="38" xfId="0" applyFont="1" applyFill="1" applyBorder="1" applyAlignment="1">
      <alignment vertical="center"/>
    </xf>
    <xf numFmtId="3" fontId="28" fillId="0" borderId="0" xfId="0" applyNumberFormat="1" applyFont="1"/>
    <xf numFmtId="0" fontId="32" fillId="0" borderId="0" xfId="0" applyFont="1" applyFill="1" applyBorder="1"/>
    <xf numFmtId="43" fontId="7" fillId="0" borderId="0" xfId="0" applyNumberFormat="1" applyFont="1" applyFill="1" applyBorder="1"/>
    <xf numFmtId="165" fontId="19" fillId="9" borderId="44" xfId="1" applyNumberFormat="1" applyFont="1" applyFill="1" applyBorder="1" applyAlignment="1">
      <alignment vertical="center"/>
    </xf>
    <xf numFmtId="166" fontId="19" fillId="9" borderId="45" xfId="3" applyNumberFormat="1" applyFont="1" applyFill="1" applyBorder="1" applyAlignment="1">
      <alignment vertical="center"/>
    </xf>
    <xf numFmtId="9" fontId="22" fillId="0" borderId="0" xfId="3" applyFont="1" applyAlignment="1">
      <alignment vertical="center"/>
    </xf>
    <xf numFmtId="0" fontId="27" fillId="2" borderId="0" xfId="0" applyFont="1" applyFill="1" applyBorder="1"/>
    <xf numFmtId="0" fontId="33" fillId="10" borderId="5" xfId="0" applyFont="1" applyFill="1" applyBorder="1" applyAlignment="1">
      <alignment horizontal="center" vertical="center"/>
    </xf>
    <xf numFmtId="0" fontId="33" fillId="10" borderId="6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3" fillId="10" borderId="7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27" fillId="0" borderId="0" xfId="0" applyFont="1" applyFill="1" applyBorder="1"/>
    <xf numFmtId="0" fontId="33" fillId="10" borderId="9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4" fillId="0" borderId="0" xfId="0" applyFont="1" applyFill="1" applyBorder="1"/>
    <xf numFmtId="3" fontId="7" fillId="0" borderId="0" xfId="0" applyNumberFormat="1" applyFont="1" applyFill="1" applyBorder="1"/>
    <xf numFmtId="165" fontId="2" fillId="0" borderId="11" xfId="1" applyNumberFormat="1" applyFont="1" applyFill="1" applyBorder="1" applyAlignment="1">
      <alignment vertical="center"/>
    </xf>
    <xf numFmtId="166" fontId="2" fillId="0" borderId="16" xfId="3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3" fontId="2" fillId="0" borderId="2" xfId="1" applyNumberFormat="1" applyFont="1" applyFill="1" applyBorder="1" applyAlignment="1">
      <alignment vertical="center"/>
    </xf>
    <xf numFmtId="165" fontId="2" fillId="0" borderId="46" xfId="1" applyNumberFormat="1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3" fontId="3" fillId="0" borderId="12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0" borderId="47" xfId="1" applyNumberFormat="1" applyFont="1" applyFill="1" applyBorder="1" applyAlignment="1">
      <alignment vertical="center"/>
    </xf>
    <xf numFmtId="3" fontId="4" fillId="0" borderId="3" xfId="1" applyNumberFormat="1" applyFont="1" applyFill="1" applyBorder="1" applyAlignment="1">
      <alignment vertical="center"/>
    </xf>
    <xf numFmtId="3" fontId="2" fillId="0" borderId="3" xfId="1" applyNumberFormat="1" applyFont="1" applyFill="1" applyBorder="1" applyAlignment="1">
      <alignment vertical="center"/>
    </xf>
    <xf numFmtId="165" fontId="2" fillId="0" borderId="47" xfId="1" applyNumberFormat="1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vertical="center"/>
    </xf>
    <xf numFmtId="10" fontId="34" fillId="0" borderId="0" xfId="3" applyNumberFormat="1" applyFont="1" applyFill="1" applyBorder="1" applyAlignment="1">
      <alignment vertical="center"/>
    </xf>
    <xf numFmtId="165" fontId="2" fillId="2" borderId="3" xfId="1" applyNumberFormat="1" applyFont="1" applyFill="1" applyBorder="1" applyAlignment="1">
      <alignment vertical="center"/>
    </xf>
    <xf numFmtId="3" fontId="5" fillId="0" borderId="3" xfId="1" applyNumberFormat="1" applyFont="1" applyFill="1" applyBorder="1" applyAlignment="1">
      <alignment vertical="center"/>
    </xf>
    <xf numFmtId="165" fontId="34" fillId="0" borderId="3" xfId="1" applyNumberFormat="1" applyFont="1" applyFill="1" applyBorder="1" applyAlignment="1">
      <alignment vertical="center"/>
    </xf>
    <xf numFmtId="0" fontId="27" fillId="11" borderId="4" xfId="0" applyFont="1" applyFill="1" applyBorder="1" applyAlignment="1">
      <alignment horizontal="center" vertical="center"/>
    </xf>
    <xf numFmtId="0" fontId="27" fillId="11" borderId="3" xfId="0" applyFont="1" applyFill="1" applyBorder="1" applyAlignment="1">
      <alignment vertical="center"/>
    </xf>
    <xf numFmtId="0" fontId="36" fillId="2" borderId="0" xfId="0" applyFont="1" applyFill="1" applyBorder="1" applyAlignment="1">
      <alignment vertical="center"/>
    </xf>
    <xf numFmtId="165" fontId="27" fillId="11" borderId="3" xfId="1" applyNumberFormat="1" applyFont="1" applyFill="1" applyBorder="1" applyAlignment="1">
      <alignment vertical="center"/>
    </xf>
    <xf numFmtId="166" fontId="27" fillId="11" borderId="3" xfId="3" applyNumberFormat="1" applyFont="1" applyFill="1" applyBorder="1" applyAlignment="1">
      <alignment vertical="center"/>
    </xf>
    <xf numFmtId="165" fontId="27" fillId="12" borderId="3" xfId="1" applyNumberFormat="1" applyFont="1" applyFill="1" applyBorder="1" applyAlignment="1">
      <alignment vertical="center"/>
    </xf>
    <xf numFmtId="165" fontId="36" fillId="2" borderId="0" xfId="0" applyNumberFormat="1" applyFont="1" applyFill="1" applyBorder="1" applyAlignment="1">
      <alignment vertical="center"/>
    </xf>
    <xf numFmtId="9" fontId="27" fillId="11" borderId="3" xfId="3" applyFont="1" applyFill="1" applyBorder="1" applyAlignment="1">
      <alignment vertical="center"/>
    </xf>
    <xf numFmtId="165" fontId="27" fillId="0" borderId="3" xfId="1" applyNumberFormat="1" applyFont="1" applyFill="1" applyBorder="1" applyAlignment="1">
      <alignment vertical="center"/>
    </xf>
    <xf numFmtId="165" fontId="36" fillId="0" borderId="0" xfId="0" applyNumberFormat="1" applyFont="1" applyFill="1" applyBorder="1" applyAlignment="1">
      <alignment vertical="center"/>
    </xf>
    <xf numFmtId="165" fontId="27" fillId="3" borderId="3" xfId="1" applyNumberFormat="1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3" fontId="2" fillId="0" borderId="12" xfId="1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vertical="center" wrapText="1"/>
    </xf>
    <xf numFmtId="165" fontId="37" fillId="0" borderId="3" xfId="1" applyNumberFormat="1" applyFont="1" applyFill="1" applyBorder="1" applyAlignment="1">
      <alignment vertical="center"/>
    </xf>
    <xf numFmtId="165" fontId="3" fillId="0" borderId="14" xfId="1" applyNumberFormat="1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vertical="center"/>
    </xf>
    <xf numFmtId="0" fontId="3" fillId="0" borderId="4" xfId="1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 wrapText="1"/>
    </xf>
    <xf numFmtId="3" fontId="3" fillId="2" borderId="3" xfId="1" applyNumberFormat="1" applyFont="1" applyFill="1" applyBorder="1" applyAlignment="1">
      <alignment vertical="center"/>
    </xf>
    <xf numFmtId="165" fontId="5" fillId="0" borderId="4" xfId="1" applyNumberFormat="1" applyFont="1" applyFill="1" applyBorder="1" applyAlignment="1">
      <alignment vertical="center"/>
    </xf>
    <xf numFmtId="3" fontId="38" fillId="13" borderId="4" xfId="1" applyNumberFormat="1" applyFont="1" applyFill="1" applyBorder="1" applyAlignment="1">
      <alignment vertical="center"/>
    </xf>
    <xf numFmtId="165" fontId="39" fillId="0" borderId="0" xfId="0" applyNumberFormat="1" applyFont="1" applyFill="1" applyBorder="1" applyAlignment="1">
      <alignment vertical="center"/>
    </xf>
    <xf numFmtId="3" fontId="6" fillId="4" borderId="3" xfId="1" applyNumberFormat="1" applyFont="1" applyFill="1" applyBorder="1" applyAlignment="1">
      <alignment vertical="center"/>
    </xf>
    <xf numFmtId="168" fontId="6" fillId="4" borderId="12" xfId="1" applyNumberFormat="1" applyFont="1" applyFill="1" applyBorder="1" applyAlignment="1">
      <alignment vertical="center"/>
    </xf>
    <xf numFmtId="165" fontId="6" fillId="4" borderId="47" xfId="1" applyNumberFormat="1" applyFont="1" applyFill="1" applyBorder="1" applyAlignment="1">
      <alignment vertical="center"/>
    </xf>
    <xf numFmtId="166" fontId="4" fillId="0" borderId="3" xfId="3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 indent="4"/>
    </xf>
    <xf numFmtId="0" fontId="14" fillId="14" borderId="4" xfId="0" applyFont="1" applyFill="1" applyBorder="1" applyAlignment="1">
      <alignment horizontal="center" vertical="center"/>
    </xf>
    <xf numFmtId="0" fontId="14" fillId="14" borderId="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165" fontId="4" fillId="14" borderId="3" xfId="1" applyNumberFormat="1" applyFont="1" applyFill="1" applyBorder="1" applyAlignment="1">
      <alignment vertical="center"/>
    </xf>
    <xf numFmtId="166" fontId="4" fillId="14" borderId="3" xfId="3" applyNumberFormat="1" applyFont="1" applyFill="1" applyBorder="1" applyAlignment="1">
      <alignment vertical="center"/>
    </xf>
    <xf numFmtId="165" fontId="4" fillId="12" borderId="3" xfId="1" applyNumberFormat="1" applyFont="1" applyFill="1" applyBorder="1" applyAlignment="1">
      <alignment vertical="center"/>
    </xf>
    <xf numFmtId="165" fontId="7" fillId="2" borderId="0" xfId="0" applyNumberFormat="1" applyFont="1" applyFill="1" applyBorder="1" applyAlignment="1">
      <alignment vertical="center"/>
    </xf>
    <xf numFmtId="9" fontId="4" fillId="14" borderId="3" xfId="3" applyFont="1" applyFill="1" applyBorder="1" applyAlignment="1">
      <alignment vertical="center"/>
    </xf>
    <xf numFmtId="165" fontId="35" fillId="0" borderId="3" xfId="1" applyNumberFormat="1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horizontal="center" vertical="center"/>
    </xf>
    <xf numFmtId="166" fontId="4" fillId="2" borderId="3" xfId="3" applyNumberFormat="1" applyFont="1" applyFill="1" applyBorder="1" applyAlignment="1">
      <alignment vertical="center"/>
    </xf>
    <xf numFmtId="3" fontId="4" fillId="0" borderId="12" xfId="1" applyNumberFormat="1" applyFont="1" applyFill="1" applyBorder="1" applyAlignment="1">
      <alignment vertical="center"/>
    </xf>
    <xf numFmtId="165" fontId="4" fillId="0" borderId="47" xfId="1" applyNumberFormat="1" applyFont="1" applyFill="1" applyBorder="1" applyAlignment="1">
      <alignment vertical="center"/>
    </xf>
    <xf numFmtId="3" fontId="6" fillId="4" borderId="47" xfId="1" applyNumberFormat="1" applyFont="1" applyFill="1" applyBorder="1" applyAlignment="1">
      <alignment vertical="center"/>
    </xf>
    <xf numFmtId="3" fontId="6" fillId="4" borderId="8" xfId="1" applyNumberFormat="1" applyFont="1" applyFill="1" applyBorder="1" applyAlignment="1">
      <alignment vertical="center"/>
    </xf>
    <xf numFmtId="168" fontId="6" fillId="4" borderId="8" xfId="1" applyNumberFormat="1" applyFont="1" applyFill="1" applyBorder="1" applyAlignment="1">
      <alignment vertical="center"/>
    </xf>
    <xf numFmtId="165" fontId="6" fillId="4" borderId="48" xfId="1" applyNumberFormat="1" applyFont="1" applyFill="1" applyBorder="1" applyAlignment="1">
      <alignment vertical="center"/>
    </xf>
    <xf numFmtId="165" fontId="34" fillId="0" borderId="0" xfId="0" applyNumberFormat="1" applyFont="1" applyFill="1" applyBorder="1"/>
    <xf numFmtId="43" fontId="34" fillId="0" borderId="0" xfId="0" applyNumberFormat="1" applyFont="1" applyFill="1" applyBorder="1"/>
    <xf numFmtId="3" fontId="34" fillId="0" borderId="0" xfId="0" applyNumberFormat="1" applyFont="1" applyFill="1" applyBorder="1"/>
    <xf numFmtId="4" fontId="3" fillId="0" borderId="0" xfId="0" applyNumberFormat="1" applyFont="1" applyFill="1" applyBorder="1"/>
    <xf numFmtId="3" fontId="6" fillId="4" borderId="0" xfId="1" applyNumberFormat="1" applyFont="1" applyFill="1" applyBorder="1" applyAlignment="1">
      <alignment vertical="center"/>
    </xf>
    <xf numFmtId="4" fontId="2" fillId="4" borderId="0" xfId="1" applyNumberFormat="1" applyFont="1" applyFill="1" applyBorder="1" applyAlignment="1">
      <alignment vertical="center"/>
    </xf>
    <xf numFmtId="4" fontId="6" fillId="4" borderId="0" xfId="1" applyNumberFormat="1" applyFont="1" applyFill="1" applyBorder="1" applyAlignment="1">
      <alignment vertical="center"/>
    </xf>
    <xf numFmtId="44" fontId="34" fillId="0" borderId="0" xfId="2" applyFont="1" applyFill="1" applyBorder="1"/>
    <xf numFmtId="3" fontId="7" fillId="0" borderId="0" xfId="2" applyNumberFormat="1" applyFont="1" applyFill="1" applyBorder="1"/>
    <xf numFmtId="4" fontId="3" fillId="0" borderId="0" xfId="2" applyNumberFormat="1" applyFont="1" applyFill="1" applyBorder="1"/>
    <xf numFmtId="4" fontId="7" fillId="0" borderId="0" xfId="2" applyNumberFormat="1" applyFont="1" applyFill="1" applyBorder="1"/>
    <xf numFmtId="10" fontId="7" fillId="0" borderId="0" xfId="3" applyNumberFormat="1" applyFont="1" applyFill="1" applyBorder="1"/>
    <xf numFmtId="10" fontId="34" fillId="0" borderId="0" xfId="3" applyNumberFormat="1" applyFont="1" applyFill="1" applyBorder="1"/>
    <xf numFmtId="3" fontId="7" fillId="0" borderId="0" xfId="3" applyNumberFormat="1" applyFont="1" applyFill="1" applyBorder="1"/>
    <xf numFmtId="4" fontId="7" fillId="0" borderId="0" xfId="3" applyNumberFormat="1" applyFont="1" applyFill="1" applyBorder="1"/>
    <xf numFmtId="0" fontId="40" fillId="0" borderId="0" xfId="0" applyFont="1" applyFill="1" applyBorder="1" applyAlignment="1">
      <alignment horizontal="center"/>
    </xf>
    <xf numFmtId="4" fontId="40" fillId="0" borderId="0" xfId="0" applyNumberFormat="1" applyFont="1" applyFill="1" applyBorder="1"/>
    <xf numFmtId="4" fontId="40" fillId="0" borderId="0" xfId="0" applyNumberFormat="1" applyFont="1" applyFill="1" applyBorder="1" applyAlignment="1">
      <alignment horizontal="center"/>
    </xf>
    <xf numFmtId="165" fontId="40" fillId="0" borderId="0" xfId="0" applyNumberFormat="1" applyFont="1" applyFill="1" applyBorder="1"/>
    <xf numFmtId="0" fontId="41" fillId="0" borderId="0" xfId="0" applyFont="1"/>
    <xf numFmtId="43" fontId="34" fillId="0" borderId="0" xfId="1" applyFont="1" applyFill="1" applyBorder="1"/>
    <xf numFmtId="4" fontId="4" fillId="0" borderId="3" xfId="1" applyNumberFormat="1" applyFont="1" applyFill="1" applyBorder="1" applyAlignment="1">
      <alignment vertical="center"/>
    </xf>
    <xf numFmtId="43" fontId="4" fillId="0" borderId="12" xfId="1" applyFont="1" applyFill="1" applyBorder="1" applyAlignment="1">
      <alignment vertical="center"/>
    </xf>
    <xf numFmtId="43" fontId="4" fillId="0" borderId="3" xfId="1" applyFont="1" applyFill="1" applyBorder="1" applyAlignment="1">
      <alignment vertical="center"/>
    </xf>
    <xf numFmtId="43" fontId="3" fillId="0" borderId="3" xfId="1" applyFont="1" applyFill="1" applyBorder="1" applyAlignment="1">
      <alignment vertical="center"/>
    </xf>
    <xf numFmtId="43" fontId="3" fillId="6" borderId="12" xfId="1" applyFont="1" applyFill="1" applyBorder="1" applyAlignment="1">
      <alignment vertical="center"/>
    </xf>
    <xf numFmtId="43" fontId="3" fillId="6" borderId="3" xfId="1" applyFont="1" applyFill="1" applyBorder="1" applyAlignment="1">
      <alignment vertical="center"/>
    </xf>
    <xf numFmtId="43" fontId="3" fillId="6" borderId="1" xfId="1" applyFont="1" applyFill="1" applyBorder="1" applyAlignment="1">
      <alignment vertical="center"/>
    </xf>
    <xf numFmtId="43" fontId="18" fillId="0" borderId="33" xfId="1" applyFont="1" applyFill="1" applyBorder="1" applyAlignment="1">
      <alignment vertical="center"/>
    </xf>
    <xf numFmtId="43" fontId="23" fillId="0" borderId="33" xfId="1" applyFont="1" applyFill="1" applyBorder="1" applyAlignment="1">
      <alignment vertical="center"/>
    </xf>
    <xf numFmtId="43" fontId="23" fillId="8" borderId="33" xfId="1" applyFont="1" applyFill="1" applyBorder="1" applyAlignment="1">
      <alignment vertical="center"/>
    </xf>
    <xf numFmtId="43" fontId="41" fillId="0" borderId="0" xfId="0" applyNumberFormat="1" applyFont="1"/>
    <xf numFmtId="165" fontId="25" fillId="0" borderId="0" xfId="0" applyNumberFormat="1" applyFont="1" applyFill="1" applyBorder="1" applyAlignment="1">
      <alignment vertical="center"/>
    </xf>
    <xf numFmtId="9" fontId="28" fillId="0" borderId="0" xfId="3" applyFont="1"/>
    <xf numFmtId="4" fontId="4" fillId="2" borderId="39" xfId="4" applyNumberFormat="1" applyFont="1" applyFill="1" applyBorder="1" applyAlignment="1">
      <alignment vertical="center"/>
    </xf>
    <xf numFmtId="165" fontId="47" fillId="0" borderId="3" xfId="1" applyNumberFormat="1" applyFont="1" applyFill="1" applyBorder="1" applyAlignment="1">
      <alignment vertical="center"/>
    </xf>
    <xf numFmtId="9" fontId="34" fillId="0" borderId="0" xfId="3" applyFont="1" applyFill="1" applyBorder="1"/>
    <xf numFmtId="9" fontId="7" fillId="0" borderId="0" xfId="3" applyFont="1" applyFill="1" applyBorder="1"/>
    <xf numFmtId="9" fontId="40" fillId="0" borderId="0" xfId="3" applyFont="1" applyFill="1" applyBorder="1"/>
    <xf numFmtId="4" fontId="3" fillId="0" borderId="39" xfId="4" applyNumberFormat="1" applyFont="1" applyFill="1" applyBorder="1" applyAlignment="1">
      <alignment vertical="center"/>
    </xf>
    <xf numFmtId="4" fontId="4" fillId="0" borderId="39" xfId="4" applyNumberFormat="1" applyFont="1" applyFill="1" applyBorder="1" applyAlignment="1">
      <alignment vertical="center"/>
    </xf>
    <xf numFmtId="3" fontId="48" fillId="0" borderId="39" xfId="0" applyNumberFormat="1" applyFont="1" applyBorder="1"/>
    <xf numFmtId="4" fontId="27" fillId="10" borderId="39" xfId="4" applyNumberFormat="1" applyFont="1" applyFill="1" applyBorder="1" applyAlignment="1">
      <alignment vertical="center"/>
    </xf>
    <xf numFmtId="4" fontId="27" fillId="11" borderId="4" xfId="0" applyNumberFormat="1" applyFont="1" applyFill="1" applyBorder="1" applyAlignment="1">
      <alignment vertical="center"/>
    </xf>
    <xf numFmtId="0" fontId="27" fillId="16" borderId="36" xfId="0" applyFont="1" applyFill="1" applyBorder="1" applyAlignment="1">
      <alignment horizontal="center" vertical="center"/>
    </xf>
    <xf numFmtId="1" fontId="27" fillId="16" borderId="36" xfId="0" applyNumberFormat="1" applyFont="1" applyFill="1" applyBorder="1" applyAlignment="1">
      <alignment horizontal="center" vertical="center"/>
    </xf>
    <xf numFmtId="1" fontId="27" fillId="16" borderId="37" xfId="0" applyNumberFormat="1" applyFont="1" applyFill="1" applyBorder="1" applyAlignment="1">
      <alignment horizontal="center" vertical="center"/>
    </xf>
    <xf numFmtId="0" fontId="19" fillId="9" borderId="38" xfId="0" applyFont="1" applyFill="1" applyBorder="1" applyAlignment="1">
      <alignment horizontal="right" vertical="center"/>
    </xf>
    <xf numFmtId="3" fontId="19" fillId="9" borderId="4" xfId="0" applyNumberFormat="1" applyFont="1" applyFill="1" applyBorder="1" applyAlignment="1">
      <alignment horizontal="right" vertical="center"/>
    </xf>
    <xf numFmtId="3" fontId="19" fillId="9" borderId="39" xfId="0" applyNumberFormat="1" applyFont="1" applyFill="1" applyBorder="1" applyAlignment="1">
      <alignment horizontal="right" vertical="center"/>
    </xf>
    <xf numFmtId="0" fontId="6" fillId="9" borderId="38" xfId="0" applyFont="1" applyFill="1" applyBorder="1" applyAlignment="1">
      <alignment horizontal="right" vertical="center"/>
    </xf>
    <xf numFmtId="3" fontId="19" fillId="9" borderId="4" xfId="4" applyNumberFormat="1" applyFont="1" applyFill="1" applyBorder="1" applyAlignment="1">
      <alignment vertical="center"/>
    </xf>
    <xf numFmtId="3" fontId="19" fillId="9" borderId="39" xfId="4" applyNumberFormat="1" applyFont="1" applyFill="1" applyBorder="1" applyAlignment="1">
      <alignment vertical="center"/>
    </xf>
    <xf numFmtId="0" fontId="6" fillId="9" borderId="40" xfId="0" applyFont="1" applyFill="1" applyBorder="1" applyAlignment="1">
      <alignment horizontal="right" vertical="center"/>
    </xf>
    <xf numFmtId="3" fontId="19" fillId="9" borderId="41" xfId="0" applyNumberFormat="1" applyFont="1" applyFill="1" applyBorder="1" applyAlignment="1">
      <alignment horizontal="right" vertical="center"/>
    </xf>
    <xf numFmtId="3" fontId="19" fillId="9" borderId="41" xfId="4" applyNumberFormat="1" applyFont="1" applyFill="1" applyBorder="1" applyAlignment="1">
      <alignment vertical="center"/>
    </xf>
    <xf numFmtId="3" fontId="19" fillId="9" borderId="42" xfId="4" applyNumberFormat="1" applyFont="1" applyFill="1" applyBorder="1" applyAlignment="1">
      <alignment vertical="center"/>
    </xf>
    <xf numFmtId="0" fontId="27" fillId="11" borderId="38" xfId="0" applyFont="1" applyFill="1" applyBorder="1" applyAlignment="1">
      <alignment horizontal="center" vertical="center"/>
    </xf>
    <xf numFmtId="0" fontId="27" fillId="10" borderId="38" xfId="0" applyFont="1" applyFill="1" applyBorder="1" applyAlignment="1">
      <alignment horizontal="center" vertical="center"/>
    </xf>
    <xf numFmtId="0" fontId="19" fillId="17" borderId="7" xfId="0" applyFont="1" applyFill="1" applyBorder="1" applyAlignment="1">
      <alignment horizontal="center" vertical="center"/>
    </xf>
    <xf numFmtId="0" fontId="19" fillId="17" borderId="9" xfId="0" applyFont="1" applyFill="1" applyBorder="1" applyAlignment="1">
      <alignment horizontal="center" vertical="center"/>
    </xf>
    <xf numFmtId="0" fontId="19" fillId="17" borderId="2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indent="4"/>
    </xf>
    <xf numFmtId="0" fontId="51" fillId="0" borderId="1" xfId="0" applyFont="1" applyFill="1" applyBorder="1" applyAlignment="1">
      <alignment horizontal="left" vertical="center" indent="4"/>
    </xf>
    <xf numFmtId="0" fontId="11" fillId="6" borderId="23" xfId="0" applyFont="1" applyFill="1" applyBorder="1" applyAlignment="1">
      <alignment vertical="center"/>
    </xf>
    <xf numFmtId="0" fontId="52" fillId="0" borderId="1" xfId="0" applyFont="1" applyFill="1" applyBorder="1" applyAlignment="1">
      <alignment vertical="center"/>
    </xf>
    <xf numFmtId="165" fontId="53" fillId="0" borderId="12" xfId="1" applyNumberFormat="1" applyFont="1" applyFill="1" applyBorder="1" applyAlignment="1">
      <alignment vertical="center"/>
    </xf>
    <xf numFmtId="165" fontId="53" fillId="0" borderId="2" xfId="1" applyNumberFormat="1" applyFont="1" applyFill="1" applyBorder="1" applyAlignment="1">
      <alignment vertical="center"/>
    </xf>
    <xf numFmtId="166" fontId="53" fillId="0" borderId="18" xfId="3" applyNumberFormat="1" applyFont="1" applyFill="1" applyBorder="1" applyAlignment="1">
      <alignment vertical="center"/>
    </xf>
    <xf numFmtId="165" fontId="53" fillId="0" borderId="23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vertical="center"/>
    </xf>
    <xf numFmtId="165" fontId="54" fillId="0" borderId="12" xfId="1" applyNumberFormat="1" applyFont="1" applyFill="1" applyBorder="1" applyAlignment="1">
      <alignment vertical="center"/>
    </xf>
    <xf numFmtId="165" fontId="54" fillId="0" borderId="3" xfId="1" applyNumberFormat="1" applyFont="1" applyFill="1" applyBorder="1" applyAlignment="1">
      <alignment vertical="center"/>
    </xf>
    <xf numFmtId="166" fontId="54" fillId="0" borderId="19" xfId="3" applyNumberFormat="1" applyFont="1" applyFill="1" applyBorder="1" applyAlignment="1">
      <alignment vertical="center"/>
    </xf>
    <xf numFmtId="165" fontId="54" fillId="0" borderId="1" xfId="1" applyNumberFormat="1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5" fontId="53" fillId="0" borderId="3" xfId="1" applyNumberFormat="1" applyFont="1" applyFill="1" applyBorder="1" applyAlignment="1">
      <alignment vertical="center"/>
    </xf>
    <xf numFmtId="166" fontId="53" fillId="0" borderId="19" xfId="3" applyNumberFormat="1" applyFont="1" applyFill="1" applyBorder="1" applyAlignment="1">
      <alignment vertical="center"/>
    </xf>
    <xf numFmtId="165" fontId="53" fillId="0" borderId="1" xfId="1" applyNumberFormat="1" applyFont="1" applyFill="1" applyBorder="1" applyAlignment="1">
      <alignment vertical="center"/>
    </xf>
    <xf numFmtId="0" fontId="33" fillId="17" borderId="24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vertical="center"/>
    </xf>
    <xf numFmtId="165" fontId="33" fillId="17" borderId="17" xfId="1" applyNumberFormat="1" applyFont="1" applyFill="1" applyBorder="1" applyAlignment="1">
      <alignment vertical="center"/>
    </xf>
    <xf numFmtId="165" fontId="33" fillId="17" borderId="15" xfId="1" applyNumberFormat="1" applyFont="1" applyFill="1" applyBorder="1" applyAlignment="1">
      <alignment vertical="center"/>
    </xf>
    <xf numFmtId="166" fontId="33" fillId="17" borderId="21" xfId="3" applyNumberFormat="1" applyFont="1" applyFill="1" applyBorder="1" applyAlignment="1">
      <alignment vertical="center"/>
    </xf>
    <xf numFmtId="165" fontId="33" fillId="17" borderId="24" xfId="1" applyNumberFormat="1" applyFont="1" applyFill="1" applyBorder="1" applyAlignment="1">
      <alignment vertical="center"/>
    </xf>
    <xf numFmtId="0" fontId="52" fillId="6" borderId="1" xfId="0" applyFont="1" applyFill="1" applyBorder="1" applyAlignment="1">
      <alignment vertical="center"/>
    </xf>
    <xf numFmtId="2" fontId="53" fillId="6" borderId="12" xfId="1" applyNumberFormat="1" applyFont="1" applyFill="1" applyBorder="1" applyAlignment="1">
      <alignment vertical="center"/>
    </xf>
    <xf numFmtId="166" fontId="53" fillId="6" borderId="19" xfId="3" applyNumberFormat="1" applyFont="1" applyFill="1" applyBorder="1" applyAlignment="1">
      <alignment vertical="center"/>
    </xf>
    <xf numFmtId="0" fontId="32" fillId="6" borderId="1" xfId="0" applyFont="1" applyFill="1" applyBorder="1" applyAlignment="1">
      <alignment horizontal="left" vertical="center" indent="4"/>
    </xf>
    <xf numFmtId="2" fontId="54" fillId="6" borderId="12" xfId="1" applyNumberFormat="1" applyFont="1" applyFill="1" applyBorder="1" applyAlignment="1">
      <alignment vertical="center"/>
    </xf>
    <xf numFmtId="166" fontId="54" fillId="6" borderId="19" xfId="3" applyNumberFormat="1" applyFont="1" applyFill="1" applyBorder="1" applyAlignment="1">
      <alignment vertical="center"/>
    </xf>
    <xf numFmtId="2" fontId="54" fillId="6" borderId="3" xfId="1" applyNumberFormat="1" applyFont="1" applyFill="1" applyBorder="1" applyAlignment="1">
      <alignment vertical="center"/>
    </xf>
    <xf numFmtId="2" fontId="33" fillId="17" borderId="17" xfId="1" applyNumberFormat="1" applyFont="1" applyFill="1" applyBorder="1" applyAlignment="1">
      <alignment vertical="center"/>
    </xf>
    <xf numFmtId="165" fontId="53" fillId="6" borderId="12" xfId="1" applyNumberFormat="1" applyFont="1" applyFill="1" applyBorder="1" applyAlignment="1">
      <alignment vertical="center"/>
    </xf>
    <xf numFmtId="165" fontId="53" fillId="6" borderId="3" xfId="1" applyNumberFormat="1" applyFont="1" applyFill="1" applyBorder="1" applyAlignment="1">
      <alignment vertical="center"/>
    </xf>
    <xf numFmtId="165" fontId="53" fillId="6" borderId="1" xfId="1" applyNumberFormat="1" applyFont="1" applyFill="1" applyBorder="1" applyAlignment="1">
      <alignment vertical="center"/>
    </xf>
    <xf numFmtId="165" fontId="54" fillId="6" borderId="12" xfId="1" applyNumberFormat="1" applyFont="1" applyFill="1" applyBorder="1" applyAlignment="1">
      <alignment vertical="center"/>
    </xf>
    <xf numFmtId="165" fontId="54" fillId="6" borderId="3" xfId="1" applyNumberFormat="1" applyFont="1" applyFill="1" applyBorder="1" applyAlignment="1">
      <alignment vertical="center"/>
    </xf>
    <xf numFmtId="165" fontId="54" fillId="6" borderId="1" xfId="1" applyNumberFormat="1" applyFont="1" applyFill="1" applyBorder="1" applyAlignment="1">
      <alignment vertical="center"/>
    </xf>
    <xf numFmtId="2" fontId="54" fillId="6" borderId="1" xfId="1" applyNumberFormat="1" applyFont="1" applyFill="1" applyBorder="1" applyAlignment="1">
      <alignment vertical="center"/>
    </xf>
    <xf numFmtId="0" fontId="17" fillId="9" borderId="1" xfId="0" applyFont="1" applyFill="1" applyBorder="1" applyAlignment="1">
      <alignment horizontal="center" vertical="center"/>
    </xf>
    <xf numFmtId="165" fontId="17" fillId="9" borderId="12" xfId="1" applyNumberFormat="1" applyFont="1" applyFill="1" applyBorder="1" applyAlignment="1">
      <alignment vertical="center"/>
    </xf>
    <xf numFmtId="165" fontId="17" fillId="9" borderId="3" xfId="1" applyNumberFormat="1" applyFont="1" applyFill="1" applyBorder="1" applyAlignment="1">
      <alignment vertical="center"/>
    </xf>
    <xf numFmtId="166" fontId="17" fillId="9" borderId="19" xfId="3" applyNumberFormat="1" applyFont="1" applyFill="1" applyBorder="1" applyAlignment="1">
      <alignment vertical="center"/>
    </xf>
    <xf numFmtId="165" fontId="17" fillId="9" borderId="1" xfId="1" applyNumberFormat="1" applyFont="1" applyFill="1" applyBorder="1" applyAlignment="1">
      <alignment vertical="center"/>
    </xf>
    <xf numFmtId="2" fontId="54" fillId="0" borderId="12" xfId="1" applyNumberFormat="1" applyFont="1" applyFill="1" applyBorder="1" applyAlignment="1">
      <alignment vertical="center"/>
    </xf>
    <xf numFmtId="2" fontId="54" fillId="0" borderId="3" xfId="1" applyNumberFormat="1" applyFont="1" applyFill="1" applyBorder="1" applyAlignment="1">
      <alignment vertical="center"/>
    </xf>
    <xf numFmtId="2" fontId="54" fillId="0" borderId="1" xfId="1" applyNumberFormat="1" applyFont="1" applyFill="1" applyBorder="1" applyAlignment="1">
      <alignment vertical="center"/>
    </xf>
    <xf numFmtId="0" fontId="9" fillId="6" borderId="0" xfId="0" applyFont="1" applyFill="1" applyBorder="1" applyAlignment="1">
      <alignment horizontal="left"/>
    </xf>
    <xf numFmtId="0" fontId="9" fillId="6" borderId="0" xfId="0" applyFont="1" applyFill="1" applyBorder="1"/>
    <xf numFmtId="0" fontId="9" fillId="0" borderId="0" xfId="0" applyFont="1" applyFill="1" applyBorder="1"/>
    <xf numFmtId="0" fontId="24" fillId="15" borderId="36" xfId="0" applyFont="1" applyFill="1" applyBorder="1" applyAlignment="1">
      <alignment horizontal="center" vertical="center" wrapText="1"/>
    </xf>
    <xf numFmtId="0" fontId="9" fillId="6" borderId="39" xfId="0" applyFont="1" applyFill="1" applyBorder="1"/>
    <xf numFmtId="0" fontId="9" fillId="6" borderId="39" xfId="0" applyFont="1" applyFill="1" applyBorder="1" applyAlignment="1">
      <alignment horizontal="left"/>
    </xf>
    <xf numFmtId="0" fontId="9" fillId="6" borderId="39" xfId="0" applyFont="1" applyFill="1" applyBorder="1" applyAlignment="1">
      <alignment wrapText="1"/>
    </xf>
    <xf numFmtId="0" fontId="9" fillId="6" borderId="42" xfId="0" applyFont="1" applyFill="1" applyBorder="1"/>
    <xf numFmtId="0" fontId="25" fillId="6" borderId="0" xfId="0" applyFont="1" applyFill="1" applyBorder="1"/>
    <xf numFmtId="0" fontId="25" fillId="6" borderId="36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vertical="center"/>
    </xf>
    <xf numFmtId="43" fontId="9" fillId="6" borderId="0" xfId="0" applyNumberFormat="1" applyFont="1" applyFill="1" applyBorder="1"/>
    <xf numFmtId="0" fontId="25" fillId="6" borderId="39" xfId="0" applyFont="1" applyFill="1" applyBorder="1"/>
    <xf numFmtId="0" fontId="9" fillId="6" borderId="39" xfId="0" applyFont="1" applyFill="1" applyBorder="1" applyAlignment="1">
      <alignment horizontal="left" indent="2"/>
    </xf>
    <xf numFmtId="0" fontId="9" fillId="6" borderId="38" xfId="0" applyFont="1" applyFill="1" applyBorder="1" applyAlignment="1">
      <alignment horizontal="left" indent="2"/>
    </xf>
    <xf numFmtId="0" fontId="9" fillId="6" borderId="39" xfId="0" applyFont="1" applyFill="1" applyBorder="1" applyAlignment="1">
      <alignment horizontal="left" wrapText="1" indent="2"/>
    </xf>
    <xf numFmtId="0" fontId="25" fillId="6" borderId="39" xfId="0" applyFont="1" applyFill="1" applyBorder="1" applyAlignment="1">
      <alignment horizontal="left"/>
    </xf>
    <xf numFmtId="0" fontId="9" fillId="6" borderId="42" xfId="0" applyFont="1" applyFill="1" applyBorder="1" applyAlignment="1">
      <alignment horizontal="left" indent="2"/>
    </xf>
    <xf numFmtId="0" fontId="24" fillId="15" borderId="36" xfId="0" applyFont="1" applyFill="1" applyBorder="1" applyAlignment="1">
      <alignment horizontal="center" vertical="center"/>
    </xf>
    <xf numFmtId="0" fontId="24" fillId="15" borderId="36" xfId="0" applyFont="1" applyFill="1" applyBorder="1" applyAlignment="1">
      <alignment horizontal="center" vertical="center"/>
    </xf>
    <xf numFmtId="43" fontId="9" fillId="49" borderId="39" xfId="1" applyFont="1" applyFill="1" applyBorder="1"/>
    <xf numFmtId="43" fontId="9" fillId="49" borderId="38" xfId="1" applyFont="1" applyFill="1" applyBorder="1"/>
    <xf numFmtId="0" fontId="7" fillId="49" borderId="39" xfId="0" applyFont="1" applyFill="1" applyBorder="1"/>
    <xf numFmtId="44" fontId="25" fillId="6" borderId="36" xfId="2" applyFont="1" applyFill="1" applyBorder="1" applyAlignment="1">
      <alignment vertical="center"/>
    </xf>
    <xf numFmtId="44" fontId="9" fillId="6" borderId="39" xfId="2" applyFont="1" applyFill="1" applyBorder="1"/>
    <xf numFmtId="44" fontId="9" fillId="6" borderId="49" xfId="2" applyFont="1" applyFill="1" applyBorder="1"/>
    <xf numFmtId="44" fontId="9" fillId="6" borderId="42" xfId="2" applyFont="1" applyFill="1" applyBorder="1"/>
    <xf numFmtId="44" fontId="9" fillId="6" borderId="40" xfId="2" applyFont="1" applyFill="1" applyBorder="1"/>
    <xf numFmtId="44" fontId="25" fillId="6" borderId="37" xfId="2" applyFont="1" applyFill="1" applyBorder="1" applyAlignment="1">
      <alignment vertical="center"/>
    </xf>
    <xf numFmtId="44" fontId="25" fillId="6" borderId="39" xfId="2" applyFont="1" applyFill="1" applyBorder="1"/>
    <xf numFmtId="44" fontId="9" fillId="6" borderId="0" xfId="2" applyFont="1" applyFill="1" applyBorder="1" applyAlignment="1">
      <alignment vertical="center"/>
    </xf>
    <xf numFmtId="44" fontId="25" fillId="6" borderId="42" xfId="2" applyFont="1" applyFill="1" applyBorder="1" applyAlignment="1">
      <alignment vertical="center"/>
    </xf>
    <xf numFmtId="44" fontId="9" fillId="6" borderId="38" xfId="2" applyFont="1" applyFill="1" applyBorder="1"/>
    <xf numFmtId="44" fontId="25" fillId="6" borderId="36" xfId="2" applyFont="1" applyFill="1" applyBorder="1" applyAlignment="1">
      <alignment horizontal="center" vertical="center"/>
    </xf>
    <xf numFmtId="44" fontId="25" fillId="6" borderId="0" xfId="2" applyFont="1" applyFill="1" applyBorder="1"/>
    <xf numFmtId="8" fontId="9" fillId="6" borderId="39" xfId="2" applyNumberFormat="1" applyFont="1" applyFill="1" applyBorder="1"/>
    <xf numFmtId="44" fontId="41" fillId="0" borderId="0" xfId="0" applyNumberFormat="1" applyFont="1"/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33" fillId="10" borderId="5" xfId="0" applyFont="1" applyFill="1" applyBorder="1" applyAlignment="1">
      <alignment horizontal="center" vertical="center"/>
    </xf>
    <xf numFmtId="0" fontId="33" fillId="10" borderId="6" xfId="0" applyFont="1" applyFill="1" applyBorder="1" applyAlignment="1">
      <alignment horizontal="center" vertical="center"/>
    </xf>
    <xf numFmtId="0" fontId="33" fillId="10" borderId="7" xfId="0" applyFont="1" applyFill="1" applyBorder="1" applyAlignment="1">
      <alignment horizontal="center" vertical="center"/>
    </xf>
    <xf numFmtId="0" fontId="33" fillId="10" borderId="2" xfId="0" applyFont="1" applyFill="1" applyBorder="1" applyAlignment="1">
      <alignment horizontal="center" vertical="center"/>
    </xf>
    <xf numFmtId="0" fontId="33" fillId="10" borderId="8" xfId="0" applyFont="1" applyFill="1" applyBorder="1" applyAlignment="1">
      <alignment horizontal="center" vertical="center"/>
    </xf>
    <xf numFmtId="0" fontId="24" fillId="15" borderId="36" xfId="0" applyFont="1" applyFill="1" applyBorder="1" applyAlignment="1">
      <alignment horizontal="center" vertical="center"/>
    </xf>
    <xf numFmtId="44" fontId="25" fillId="6" borderId="36" xfId="2" applyFont="1" applyFill="1" applyBorder="1" applyAlignment="1">
      <alignment horizontal="center" vertical="center"/>
    </xf>
    <xf numFmtId="44" fontId="25" fillId="6" borderId="0" xfId="2" applyFont="1" applyFill="1" applyBorder="1" applyAlignment="1">
      <alignment horizontal="center"/>
    </xf>
    <xf numFmtId="44" fontId="25" fillId="6" borderId="0" xfId="2" applyFont="1" applyFill="1" applyBorder="1" applyAlignment="1">
      <alignment horizontal="center" vertical="center"/>
    </xf>
    <xf numFmtId="0" fontId="24" fillId="15" borderId="4" xfId="0" applyFont="1" applyFill="1" applyBorder="1" applyAlignment="1">
      <alignment horizontal="center" vertical="center"/>
    </xf>
    <xf numFmtId="0" fontId="24" fillId="15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17" fillId="5" borderId="4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4" fillId="7" borderId="0" xfId="0" applyFont="1" applyFill="1" applyBorder="1" applyAlignment="1">
      <alignment horizontal="center" vertical="center"/>
    </xf>
    <xf numFmtId="0" fontId="24" fillId="7" borderId="35" xfId="0" applyFont="1" applyFill="1" applyBorder="1" applyAlignment="1">
      <alignment horizontal="center" vertical="center"/>
    </xf>
    <xf numFmtId="0" fontId="24" fillId="7" borderId="34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50" fillId="17" borderId="23" xfId="0" applyFont="1" applyFill="1" applyBorder="1" applyAlignment="1">
      <alignment horizontal="center" vertical="center"/>
    </xf>
    <xf numFmtId="0" fontId="50" fillId="17" borderId="25" xfId="0" applyFont="1" applyFill="1" applyBorder="1" applyAlignment="1">
      <alignment horizontal="center" vertical="center"/>
    </xf>
    <xf numFmtId="0" fontId="49" fillId="17" borderId="6" xfId="0" applyFont="1" applyFill="1" applyBorder="1" applyAlignment="1">
      <alignment horizontal="center" vertical="center"/>
    </xf>
    <xf numFmtId="0" fontId="49" fillId="17" borderId="22" xfId="0" applyFont="1" applyFill="1" applyBorder="1" applyAlignment="1">
      <alignment horizontal="center" vertical="center"/>
    </xf>
    <xf numFmtId="0" fontId="49" fillId="17" borderId="23" xfId="0" applyFont="1" applyFill="1" applyBorder="1" applyAlignment="1">
      <alignment horizontal="center" vertical="center"/>
    </xf>
    <xf numFmtId="0" fontId="49" fillId="17" borderId="25" xfId="0" applyFont="1" applyFill="1" applyBorder="1" applyAlignment="1">
      <alignment horizontal="center" vertical="center"/>
    </xf>
  </cellXfs>
  <cellStyles count="66">
    <cellStyle name="=C:\WINNT\SYSTEM32\COMMAND.COM" xfId="8"/>
    <cellStyle name="20% - Énfasis1" xfId="42" builtinId="30" customBuiltin="1"/>
    <cellStyle name="20% - Énfasis2" xfId="46" builtinId="34" customBuiltin="1"/>
    <cellStyle name="20% - Énfasis3" xfId="50" builtinId="38" customBuiltin="1"/>
    <cellStyle name="20% - Énfasis4" xfId="54" builtinId="42" customBuiltin="1"/>
    <cellStyle name="20% - Énfasis5" xfId="58" builtinId="46" customBuiltin="1"/>
    <cellStyle name="20% - Énfasis6" xfId="62" builtinId="50" customBuiltin="1"/>
    <cellStyle name="40% - Énfasis1" xfId="43" builtinId="31" customBuiltin="1"/>
    <cellStyle name="40% - Énfasis2" xfId="47" builtinId="35" customBuiltin="1"/>
    <cellStyle name="40% - Énfasis3" xfId="51" builtinId="39" customBuiltin="1"/>
    <cellStyle name="40% - Énfasis4" xfId="55" builtinId="43" customBuiltin="1"/>
    <cellStyle name="40% - Énfasis5" xfId="59" builtinId="47" customBuiltin="1"/>
    <cellStyle name="40% - Énfasis6" xfId="63" builtinId="51" customBuiltin="1"/>
    <cellStyle name="60% - Énfasis1" xfId="44" builtinId="32" customBuiltin="1"/>
    <cellStyle name="60% - Énfasis2" xfId="48" builtinId="36" customBuiltin="1"/>
    <cellStyle name="60% - Énfasis3" xfId="52" builtinId="40" customBuiltin="1"/>
    <cellStyle name="60% - Énfasis4" xfId="56" builtinId="44" customBuiltin="1"/>
    <cellStyle name="60% - Énfasis5" xfId="60" builtinId="48" customBuiltin="1"/>
    <cellStyle name="60% - Énfasis6" xfId="64" builtinId="52" customBuiltin="1"/>
    <cellStyle name="Bueno" xfId="29" builtinId="26" customBuiltin="1"/>
    <cellStyle name="Cálculo" xfId="34" builtinId="22" customBuiltin="1"/>
    <cellStyle name="Celda de comprobación" xfId="36" builtinId="23" customBuiltin="1"/>
    <cellStyle name="Celda vinculada" xfId="35" builtinId="24" customBuiltin="1"/>
    <cellStyle name="Encabezado 1" xfId="25" builtinId="16" customBuiltin="1"/>
    <cellStyle name="Encabezado 4" xfId="28" builtinId="19" customBuiltin="1"/>
    <cellStyle name="Énfasis1" xfId="41" builtinId="29" customBuiltin="1"/>
    <cellStyle name="Énfasis2" xfId="45" builtinId="33" customBuiltin="1"/>
    <cellStyle name="Énfasis3" xfId="49" builtinId="37" customBuiltin="1"/>
    <cellStyle name="Énfasis4" xfId="53" builtinId="41" customBuiltin="1"/>
    <cellStyle name="Énfasis5" xfId="57" builtinId="45" customBuiltin="1"/>
    <cellStyle name="Énfasis6" xfId="61" builtinId="49" customBuiltin="1"/>
    <cellStyle name="Entrada" xfId="32" builtinId="20" customBuiltin="1"/>
    <cellStyle name="Incorrecto" xfId="30" builtinId="27" customBuiltin="1"/>
    <cellStyle name="Millares" xfId="1" builtinId="3"/>
    <cellStyle name="Millares 2" xfId="4"/>
    <cellStyle name="Millares 2 2" xfId="9"/>
    <cellStyle name="Millares 2 3" xfId="10"/>
    <cellStyle name="Millares 3" xfId="11"/>
    <cellStyle name="Millares 4" xfId="12"/>
    <cellStyle name="Millares 4 2" xfId="13"/>
    <cellStyle name="Millares 5" xfId="14"/>
    <cellStyle name="Millares 6" xfId="15"/>
    <cellStyle name="Millares 7" xfId="7"/>
    <cellStyle name="Moneda" xfId="2" builtinId="4"/>
    <cellStyle name="Moneda 2" xfId="5"/>
    <cellStyle name="Moneda 2 2" xfId="16"/>
    <cellStyle name="Moneda 3" xfId="17"/>
    <cellStyle name="Moneda 4" xfId="18"/>
    <cellStyle name="Moneda 5" xfId="65"/>
    <cellStyle name="Neutral" xfId="31" builtinId="28" customBuiltin="1"/>
    <cellStyle name="Normal" xfId="0" builtinId="0"/>
    <cellStyle name="Normal 15" xfId="19"/>
    <cellStyle name="Normal 2" xfId="20"/>
    <cellStyle name="Normal 2 3" xfId="21"/>
    <cellStyle name="Normal 3" xfId="22"/>
    <cellStyle name="Normal 5" xfId="6"/>
    <cellStyle name="Notas" xfId="38" builtinId="10" customBuiltin="1"/>
    <cellStyle name="Porcentaje" xfId="3" builtinId="5"/>
    <cellStyle name="Porcentaje 2" xfId="23"/>
    <cellStyle name="Salida" xfId="33" builtinId="21" customBuiltin="1"/>
    <cellStyle name="Texto de advertencia" xfId="37" builtinId="11" customBuiltin="1"/>
    <cellStyle name="Texto explicativo" xfId="39" builtinId="53" customBuiltin="1"/>
    <cellStyle name="Título" xfId="24" builtinId="15" customBuiltin="1"/>
    <cellStyle name="Título 2" xfId="26" builtinId="17" customBuiltin="1"/>
    <cellStyle name="Título 3" xfId="27" builtinId="18" customBuiltin="1"/>
    <cellStyle name="Total" xfId="40" builtinId="25" customBuiltin="1"/>
  </cellStyles>
  <dxfs count="131">
    <dxf>
      <font>
        <color theme="5" tint="0.39994506668294322"/>
      </font>
    </dxf>
    <dxf>
      <font>
        <color rgb="FFFF0000"/>
      </font>
    </dxf>
    <dxf>
      <font>
        <color rgb="FF99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9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66FF"/>
      <color rgb="FFFF00FF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B102"/>
  <sheetViews>
    <sheetView showGridLines="0" zoomScale="110" zoomScaleNormal="110" workbookViewId="0">
      <pane xSplit="2" ySplit="13" topLeftCell="BY14" activePane="bottomRight" state="frozen"/>
      <selection pane="topRight" activeCell="C1" sqref="C1"/>
      <selection pane="bottomLeft" activeCell="A14" sqref="A14"/>
      <selection pane="bottomRight" activeCell="A12" sqref="A12:CF18"/>
    </sheetView>
  </sheetViews>
  <sheetFormatPr baseColWidth="10" defaultColWidth="11.44140625" defaultRowHeight="13.8" x14ac:dyDescent="0.3"/>
  <cols>
    <col min="1" max="1" width="5.44140625" style="12" customWidth="1"/>
    <col min="2" max="2" width="54.6640625" style="13" customWidth="1"/>
    <col min="3" max="3" width="3.33203125" style="13" customWidth="1"/>
    <col min="4" max="4" width="13.6640625" style="13" customWidth="1"/>
    <col min="5" max="5" width="14.44140625" style="13" bestFit="1" customWidth="1"/>
    <col min="6" max="6" width="13.6640625" style="13" customWidth="1"/>
    <col min="7" max="7" width="13.6640625" style="13" bestFit="1" customWidth="1"/>
    <col min="8" max="8" width="3.33203125" style="13" customWidth="1"/>
    <col min="9" max="9" width="12.88671875" style="13" customWidth="1"/>
    <col min="10" max="10" width="3.33203125" style="13" customWidth="1"/>
    <col min="11" max="14" width="12.88671875" style="13" customWidth="1"/>
    <col min="15" max="15" width="3.33203125" style="13" customWidth="1"/>
    <col min="16" max="16" width="12.88671875" style="13" customWidth="1"/>
    <col min="17" max="17" width="3.33203125" style="13" customWidth="1"/>
    <col min="18" max="21" width="12.88671875" style="13" customWidth="1"/>
    <col min="22" max="22" width="3.33203125" style="13" customWidth="1"/>
    <col min="23" max="23" width="12.88671875" style="13" customWidth="1"/>
    <col min="24" max="24" width="3.33203125" style="13" customWidth="1"/>
    <col min="25" max="28" width="12.88671875" style="13" customWidth="1"/>
    <col min="29" max="29" width="3.33203125" style="13" customWidth="1"/>
    <col min="30" max="30" width="12.88671875" style="13" customWidth="1"/>
    <col min="31" max="31" width="4.33203125" style="13" customWidth="1"/>
    <col min="32" max="35" width="12.88671875" style="13" customWidth="1"/>
    <col min="36" max="36" width="4.109375" style="13" customWidth="1"/>
    <col min="37" max="37" width="12.88671875" style="13" customWidth="1"/>
    <col min="38" max="38" width="4.44140625" style="13" customWidth="1"/>
    <col min="39" max="42" width="12.88671875" style="13" customWidth="1"/>
    <col min="43" max="43" width="3.33203125" style="13" customWidth="1"/>
    <col min="44" max="44" width="12.88671875" style="13" customWidth="1"/>
    <col min="45" max="45" width="3.33203125" style="13" customWidth="1"/>
    <col min="46" max="46" width="13.6640625" style="13" customWidth="1"/>
    <col min="47" max="49" width="12.88671875" style="13" customWidth="1"/>
    <col min="50" max="50" width="3.33203125" style="13" customWidth="1"/>
    <col min="51" max="51" width="12.88671875" style="13" customWidth="1"/>
    <col min="52" max="52" width="3.33203125" style="13" customWidth="1"/>
    <col min="53" max="53" width="13.6640625" style="13" customWidth="1"/>
    <col min="54" max="56" width="12.88671875" style="13" customWidth="1"/>
    <col min="57" max="57" width="3.33203125" style="13" customWidth="1"/>
    <col min="58" max="58" width="12.88671875" style="13" customWidth="1"/>
    <col min="59" max="59" width="3.33203125" style="13" customWidth="1"/>
    <col min="60" max="63" width="12.88671875" style="13" customWidth="1"/>
    <col min="64" max="64" width="3.33203125" style="13" customWidth="1"/>
    <col min="65" max="65" width="12.88671875" style="13" customWidth="1"/>
    <col min="66" max="66" width="3.33203125" style="13" customWidth="1"/>
    <col min="67" max="70" width="12.88671875" style="13" customWidth="1"/>
    <col min="71" max="71" width="3.33203125" style="13" customWidth="1"/>
    <col min="72" max="72" width="12.88671875" style="13" customWidth="1"/>
    <col min="73" max="73" width="3.33203125" style="13" customWidth="1"/>
    <col min="74" max="77" width="12.88671875" style="13" customWidth="1"/>
    <col min="78" max="78" width="3.33203125" style="13" customWidth="1"/>
    <col min="79" max="79" width="12.88671875" style="13" customWidth="1"/>
    <col min="80" max="80" width="3.33203125" style="13" customWidth="1"/>
    <col min="81" max="84" width="12.88671875" style="13" customWidth="1"/>
    <col min="85" max="85" width="3.33203125" style="13" customWidth="1"/>
    <col min="86" max="86" width="12.88671875" style="13" customWidth="1"/>
    <col min="87" max="87" width="3.33203125" style="13" customWidth="1"/>
    <col min="88" max="88" width="13.6640625" style="13" customWidth="1"/>
    <col min="89" max="89" width="14.44140625" style="13" bestFit="1" customWidth="1"/>
    <col min="90" max="91" width="12.88671875" style="13" customWidth="1"/>
    <col min="92" max="92" width="3.33203125" style="13" customWidth="1"/>
    <col min="93" max="93" width="12.88671875" style="13" customWidth="1"/>
    <col min="94" max="94" width="3.33203125" style="13" customWidth="1"/>
    <col min="95" max="95" width="13.6640625" style="13" customWidth="1"/>
    <col min="96" max="98" width="12.88671875" style="13" customWidth="1"/>
    <col min="99" max="99" width="3.44140625" style="13" customWidth="1"/>
    <col min="100" max="100" width="13.33203125" style="13" bestFit="1" customWidth="1"/>
    <col min="101" max="101" width="11.44140625" style="13"/>
    <col min="102" max="105" width="12.88671875" style="13" customWidth="1"/>
    <col min="106" max="16384" width="11.44140625" style="13"/>
  </cols>
  <sheetData>
    <row r="1" spans="1:105" ht="12.75" hidden="1" customHeight="1" x14ac:dyDescent="0.3"/>
    <row r="2" spans="1:105" ht="12.75" hidden="1" customHeight="1" x14ac:dyDescent="0.3"/>
    <row r="3" spans="1:105" ht="18" hidden="1" customHeigh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5"/>
      <c r="CS3" s="15"/>
      <c r="CT3" s="15"/>
      <c r="CU3" s="15"/>
      <c r="CV3" s="15"/>
      <c r="CX3" s="15"/>
      <c r="CY3" s="15"/>
      <c r="CZ3" s="15"/>
      <c r="DA3" s="15"/>
    </row>
    <row r="4" spans="1:105" ht="15.75" hidden="1" customHeigh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7"/>
      <c r="CS4" s="17"/>
      <c r="CT4" s="17"/>
      <c r="CU4" s="17"/>
      <c r="CV4" s="17"/>
      <c r="CX4" s="17"/>
      <c r="CY4" s="17"/>
      <c r="CZ4" s="17"/>
      <c r="DA4" s="17"/>
    </row>
    <row r="5" spans="1:105" ht="12.75" hidden="1" customHeight="1" x14ac:dyDescent="0.3"/>
    <row r="6" spans="1:105" ht="12.75" hidden="1" customHeight="1" x14ac:dyDescent="0.3"/>
    <row r="7" spans="1:105" ht="12.75" hidden="1" customHeight="1" x14ac:dyDescent="0.3"/>
    <row r="9" spans="1:105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9"/>
      <c r="CL9" s="18"/>
      <c r="CM9" s="18"/>
      <c r="CN9" s="18"/>
      <c r="CO9" s="18"/>
      <c r="CP9" s="18"/>
      <c r="CQ9" s="18"/>
      <c r="CR9" s="20"/>
      <c r="CS9" s="20"/>
      <c r="CT9" s="20"/>
      <c r="CU9" s="20"/>
      <c r="CV9" s="20"/>
      <c r="CX9" s="20"/>
      <c r="CY9" s="20"/>
      <c r="CZ9" s="20"/>
      <c r="DA9" s="20"/>
    </row>
    <row r="10" spans="1:105" x14ac:dyDescent="0.3">
      <c r="CK10" s="21"/>
    </row>
    <row r="12" spans="1:105" ht="13.5" customHeight="1" x14ac:dyDescent="0.3">
      <c r="A12" s="81" t="s">
        <v>0</v>
      </c>
      <c r="B12" s="81" t="s">
        <v>1</v>
      </c>
      <c r="D12" s="427" t="s">
        <v>70</v>
      </c>
      <c r="E12" s="428"/>
      <c r="F12" s="428"/>
      <c r="G12" s="429"/>
      <c r="I12" s="81">
        <v>2015</v>
      </c>
      <c r="K12" s="427" t="s">
        <v>75</v>
      </c>
      <c r="L12" s="428"/>
      <c r="M12" s="428"/>
      <c r="N12" s="429"/>
      <c r="P12" s="81">
        <v>2015</v>
      </c>
      <c r="R12" s="427" t="s">
        <v>76</v>
      </c>
      <c r="S12" s="428"/>
      <c r="T12" s="428"/>
      <c r="U12" s="429"/>
      <c r="W12" s="81">
        <v>2015</v>
      </c>
      <c r="Y12" s="427" t="s">
        <v>77</v>
      </c>
      <c r="Z12" s="428"/>
      <c r="AA12" s="428"/>
      <c r="AB12" s="429"/>
      <c r="AD12" s="81">
        <v>2015</v>
      </c>
      <c r="AF12" s="427" t="s">
        <v>78</v>
      </c>
      <c r="AG12" s="428"/>
      <c r="AH12" s="428"/>
      <c r="AI12" s="429"/>
      <c r="AK12" s="81">
        <v>2015</v>
      </c>
      <c r="AM12" s="427" t="s">
        <v>79</v>
      </c>
      <c r="AN12" s="428"/>
      <c r="AO12" s="428"/>
      <c r="AP12" s="429"/>
      <c r="AR12" s="81">
        <v>2015</v>
      </c>
      <c r="AT12" s="427" t="s">
        <v>80</v>
      </c>
      <c r="AU12" s="428"/>
      <c r="AV12" s="428"/>
      <c r="AW12" s="429"/>
      <c r="AY12" s="81">
        <v>2015</v>
      </c>
      <c r="BA12" s="427" t="s">
        <v>81</v>
      </c>
      <c r="BB12" s="428"/>
      <c r="BC12" s="428"/>
      <c r="BD12" s="429"/>
      <c r="BF12" s="81">
        <v>2015</v>
      </c>
      <c r="BH12" s="427" t="s">
        <v>84</v>
      </c>
      <c r="BI12" s="428"/>
      <c r="BJ12" s="428"/>
      <c r="BK12" s="429"/>
      <c r="BM12" s="81">
        <v>2015</v>
      </c>
      <c r="BO12" s="427" t="s">
        <v>85</v>
      </c>
      <c r="BP12" s="428"/>
      <c r="BQ12" s="428"/>
      <c r="BR12" s="429"/>
      <c r="BT12" s="81">
        <v>2015</v>
      </c>
      <c r="BV12" s="427" t="s">
        <v>86</v>
      </c>
      <c r="BW12" s="428"/>
      <c r="BX12" s="428"/>
      <c r="BY12" s="429"/>
      <c r="CA12" s="81">
        <v>2015</v>
      </c>
      <c r="CC12" s="427" t="s">
        <v>87</v>
      </c>
      <c r="CD12" s="428"/>
      <c r="CE12" s="428"/>
      <c r="CF12" s="429"/>
      <c r="CH12" s="81">
        <v>2015</v>
      </c>
      <c r="CJ12" s="427" t="s">
        <v>89</v>
      </c>
      <c r="CK12" s="428"/>
      <c r="CL12" s="428"/>
      <c r="CM12" s="429"/>
      <c r="CO12" s="81">
        <v>2015</v>
      </c>
      <c r="CQ12" s="427" t="s">
        <v>2</v>
      </c>
      <c r="CR12" s="428"/>
      <c r="CS12" s="428"/>
      <c r="CT12" s="429"/>
      <c r="CV12" s="81">
        <v>2015</v>
      </c>
      <c r="CX12" s="83" t="s">
        <v>83</v>
      </c>
      <c r="CY12" s="83" t="s">
        <v>83</v>
      </c>
      <c r="CZ12" s="83" t="s">
        <v>88</v>
      </c>
      <c r="DA12" s="83" t="s">
        <v>82</v>
      </c>
    </row>
    <row r="13" spans="1:105" x14ac:dyDescent="0.3">
      <c r="A13" s="82"/>
      <c r="B13" s="82"/>
      <c r="D13" s="22" t="s">
        <v>71</v>
      </c>
      <c r="E13" s="22" t="s">
        <v>72</v>
      </c>
      <c r="F13" s="22" t="s">
        <v>73</v>
      </c>
      <c r="G13" s="22" t="s">
        <v>74</v>
      </c>
      <c r="I13" s="82"/>
      <c r="K13" s="22" t="s">
        <v>71</v>
      </c>
      <c r="L13" s="22" t="s">
        <v>72</v>
      </c>
      <c r="M13" s="22" t="s">
        <v>73</v>
      </c>
      <c r="N13" s="22" t="s">
        <v>74</v>
      </c>
      <c r="P13" s="82"/>
      <c r="R13" s="22" t="s">
        <v>71</v>
      </c>
      <c r="S13" s="22" t="s">
        <v>72</v>
      </c>
      <c r="T13" s="22" t="s">
        <v>73</v>
      </c>
      <c r="U13" s="22" t="s">
        <v>74</v>
      </c>
      <c r="W13" s="82"/>
      <c r="Y13" s="22" t="s">
        <v>71</v>
      </c>
      <c r="Z13" s="22" t="s">
        <v>72</v>
      </c>
      <c r="AA13" s="22" t="s">
        <v>73</v>
      </c>
      <c r="AB13" s="22" t="s">
        <v>74</v>
      </c>
      <c r="AD13" s="82"/>
      <c r="AF13" s="22" t="s">
        <v>71</v>
      </c>
      <c r="AG13" s="22" t="s">
        <v>72</v>
      </c>
      <c r="AH13" s="22" t="s">
        <v>73</v>
      </c>
      <c r="AI13" s="22" t="s">
        <v>74</v>
      </c>
      <c r="AK13" s="82"/>
      <c r="AM13" s="22" t="s">
        <v>71</v>
      </c>
      <c r="AN13" s="22" t="s">
        <v>72</v>
      </c>
      <c r="AO13" s="22" t="s">
        <v>73</v>
      </c>
      <c r="AP13" s="22" t="s">
        <v>74</v>
      </c>
      <c r="AR13" s="82"/>
      <c r="AT13" s="22" t="s">
        <v>71</v>
      </c>
      <c r="AU13" s="22" t="s">
        <v>72</v>
      </c>
      <c r="AV13" s="22" t="s">
        <v>73</v>
      </c>
      <c r="AW13" s="22" t="s">
        <v>74</v>
      </c>
      <c r="AY13" s="82"/>
      <c r="BA13" s="22" t="s">
        <v>71</v>
      </c>
      <c r="BB13" s="22" t="s">
        <v>72</v>
      </c>
      <c r="BC13" s="22" t="s">
        <v>73</v>
      </c>
      <c r="BD13" s="22" t="s">
        <v>74</v>
      </c>
      <c r="BF13" s="82"/>
      <c r="BH13" s="22" t="s">
        <v>71</v>
      </c>
      <c r="BI13" s="22" t="s">
        <v>72</v>
      </c>
      <c r="BJ13" s="22" t="s">
        <v>73</v>
      </c>
      <c r="BK13" s="22" t="s">
        <v>74</v>
      </c>
      <c r="BM13" s="82"/>
      <c r="BO13" s="22" t="s">
        <v>71</v>
      </c>
      <c r="BP13" s="22" t="s">
        <v>72</v>
      </c>
      <c r="BQ13" s="22" t="s">
        <v>73</v>
      </c>
      <c r="BR13" s="22" t="s">
        <v>74</v>
      </c>
      <c r="BT13" s="82"/>
      <c r="BV13" s="22" t="s">
        <v>71</v>
      </c>
      <c r="BW13" s="22" t="s">
        <v>72</v>
      </c>
      <c r="BX13" s="22" t="s">
        <v>73</v>
      </c>
      <c r="BY13" s="22" t="s">
        <v>74</v>
      </c>
      <c r="CA13" s="82"/>
      <c r="CC13" s="22" t="s">
        <v>71</v>
      </c>
      <c r="CD13" s="22" t="s">
        <v>72</v>
      </c>
      <c r="CE13" s="22" t="s">
        <v>73</v>
      </c>
      <c r="CF13" s="22" t="s">
        <v>74</v>
      </c>
      <c r="CH13" s="82"/>
      <c r="CJ13" s="22" t="s">
        <v>71</v>
      </c>
      <c r="CK13" s="22" t="s">
        <v>72</v>
      </c>
      <c r="CL13" s="22" t="s">
        <v>73</v>
      </c>
      <c r="CM13" s="22" t="s">
        <v>74</v>
      </c>
      <c r="CO13" s="82"/>
      <c r="CQ13" s="22" t="s">
        <v>71</v>
      </c>
      <c r="CR13" s="22" t="s">
        <v>72</v>
      </c>
      <c r="CS13" s="22" t="s">
        <v>73</v>
      </c>
      <c r="CT13" s="22" t="s">
        <v>74</v>
      </c>
      <c r="CV13" s="82"/>
      <c r="CX13" s="82"/>
      <c r="CY13" s="82"/>
      <c r="CZ13" s="82"/>
      <c r="DA13" s="82"/>
    </row>
    <row r="14" spans="1:105" x14ac:dyDescent="0.3">
      <c r="D14" s="23"/>
      <c r="CX14" s="13">
        <v>0.15</v>
      </c>
      <c r="CY14" s="13">
        <v>0.15</v>
      </c>
    </row>
    <row r="15" spans="1:105" s="26" customFormat="1" ht="16.5" customHeight="1" x14ac:dyDescent="0.3">
      <c r="A15" s="24"/>
      <c r="B15" s="25" t="s">
        <v>3</v>
      </c>
      <c r="D15" s="2">
        <f>SUM(D16)</f>
        <v>14131</v>
      </c>
      <c r="E15" s="2">
        <f>SUM(E16)</f>
        <v>15147.77</v>
      </c>
      <c r="F15" s="2">
        <f>E15-D15</f>
        <v>1016.7700000000004</v>
      </c>
      <c r="G15" s="27">
        <f>IFERROR(E15/D15,0)</f>
        <v>1.0719531526431252</v>
      </c>
      <c r="I15" s="2">
        <f>SUM(I16)</f>
        <v>3360</v>
      </c>
      <c r="K15" s="2">
        <f>SUM(K16)</f>
        <v>112846.59</v>
      </c>
      <c r="L15" s="2">
        <f>SUM(L16)</f>
        <v>1260</v>
      </c>
      <c r="M15" s="2">
        <f>L15-K15</f>
        <v>-111586.59</v>
      </c>
      <c r="N15" s="27">
        <f>IFERROR(L15/K15,0)</f>
        <v>1.1165601016388711E-2</v>
      </c>
      <c r="P15" s="2">
        <f>SUM(P16)</f>
        <v>192324</v>
      </c>
      <c r="R15" s="2">
        <f>SUM(R16)</f>
        <v>26184.04</v>
      </c>
      <c r="S15" s="2">
        <f>SUM(S16)</f>
        <v>840</v>
      </c>
      <c r="T15" s="2">
        <f>S15-R15</f>
        <v>-25344.04</v>
      </c>
      <c r="U15" s="27">
        <f>IFERROR(S15/R15,0)</f>
        <v>3.2080610937044091E-2</v>
      </c>
      <c r="W15" s="2">
        <f>SUM(W16)</f>
        <v>420</v>
      </c>
      <c r="Y15" s="2">
        <f>SUM(Y16)</f>
        <v>32382.9</v>
      </c>
      <c r="Z15" s="2">
        <f>SUM(Z16)</f>
        <v>362025</v>
      </c>
      <c r="AA15" s="2">
        <f>Z15-Y15</f>
        <v>329642.09999999998</v>
      </c>
      <c r="AB15" s="27">
        <f>IFERROR(Z15/Y15,0)</f>
        <v>11.179511408799089</v>
      </c>
      <c r="AD15" s="2">
        <f>SUM(AD16)</f>
        <v>96189</v>
      </c>
      <c r="AF15" s="2">
        <f>SUM(AF16)</f>
        <v>61019.58</v>
      </c>
      <c r="AG15" s="2">
        <f>SUM(AG16)</f>
        <v>126231.25</v>
      </c>
      <c r="AH15" s="2">
        <f>AG15-AF15</f>
        <v>65211.67</v>
      </c>
      <c r="AI15" s="27">
        <f>IFERROR(AG15/AF15,0)</f>
        <v>2.0687007350755282</v>
      </c>
      <c r="AK15" s="2">
        <f>SUM(AK16)</f>
        <v>94682</v>
      </c>
      <c r="AM15" s="2">
        <f>SUM(AM16)</f>
        <v>359.22</v>
      </c>
      <c r="AN15" s="2">
        <f>SUM(AN16)</f>
        <v>120225</v>
      </c>
      <c r="AO15" s="2">
        <f>AN15-AM15</f>
        <v>119865.78</v>
      </c>
      <c r="AP15" s="27">
        <f>IFERROR(AN15/AM15,0)</f>
        <v>334.68348087522963</v>
      </c>
      <c r="AR15" s="2">
        <f>SUM(AR16)</f>
        <v>1090</v>
      </c>
      <c r="AT15" s="2">
        <f>SUM(AT16)</f>
        <v>182574.27</v>
      </c>
      <c r="AU15" s="2">
        <f>SUM(AU16)</f>
        <v>122025</v>
      </c>
      <c r="AV15" s="2">
        <f>AU15-AT15</f>
        <v>-60549.26999999999</v>
      </c>
      <c r="AW15" s="27">
        <f>IFERROR(AU15/AT15,0)</f>
        <v>0.66835814268899996</v>
      </c>
      <c r="AY15" s="2">
        <f>SUM(AY16)</f>
        <v>375441</v>
      </c>
      <c r="BA15" s="2">
        <f>SUM(BA16)</f>
        <v>0</v>
      </c>
      <c r="BB15" s="2">
        <f>SUM(BB16)</f>
        <v>245310</v>
      </c>
      <c r="BC15" s="2">
        <f>BB15-BA15</f>
        <v>245310</v>
      </c>
      <c r="BD15" s="27">
        <f>IFERROR(BB15/BA15,0)</f>
        <v>0</v>
      </c>
      <c r="BF15" s="2">
        <f>SUM(BF16)</f>
        <v>0</v>
      </c>
      <c r="BH15" s="2">
        <f>SUM(BH16)</f>
        <v>58975.95</v>
      </c>
      <c r="BI15" s="2">
        <f>SUM(BI16)</f>
        <v>125490</v>
      </c>
      <c r="BJ15" s="2">
        <f>BI15-BH15</f>
        <v>66514.05</v>
      </c>
      <c r="BK15" s="27">
        <f>IFERROR(BI15/BH15,0)</f>
        <v>2.1278165082546363</v>
      </c>
      <c r="BM15" s="2">
        <f>SUM(BM16)</f>
        <v>0</v>
      </c>
      <c r="BO15" s="2">
        <f>SUM(BO16)</f>
        <v>70908.209999999992</v>
      </c>
      <c r="BP15" s="2">
        <f>SUM(BP16)</f>
        <v>120675</v>
      </c>
      <c r="BQ15" s="2">
        <f>BP15-BO15</f>
        <v>49766.790000000008</v>
      </c>
      <c r="BR15" s="27">
        <f>IFERROR(BP15/BO15,0)</f>
        <v>1.7018480652663495</v>
      </c>
      <c r="BT15" s="2">
        <f>SUM(BT16)</f>
        <v>206348.75</v>
      </c>
      <c r="BV15" s="28">
        <v>0</v>
      </c>
      <c r="BW15" s="2">
        <f>SUM(BW16)</f>
        <v>120225</v>
      </c>
      <c r="BX15" s="2">
        <f>BW15-BV15</f>
        <v>120225</v>
      </c>
      <c r="BY15" s="27">
        <f>IFERROR(BW15/BV15,0)</f>
        <v>0</v>
      </c>
      <c r="CA15" s="2">
        <f>SUM(CA16)</f>
        <v>0</v>
      </c>
      <c r="CC15" s="2">
        <f>SUM(CC16)</f>
        <v>95110.92</v>
      </c>
      <c r="CD15" s="2">
        <f>SUM(CD16)</f>
        <v>122817</v>
      </c>
      <c r="CE15" s="2">
        <f>CD15-CC15</f>
        <v>27706.080000000002</v>
      </c>
      <c r="CF15" s="27">
        <f>IFERROR(CD15/CC15,0)</f>
        <v>1.2913028283187673</v>
      </c>
      <c r="CH15" s="2">
        <f>SUM(CH16)</f>
        <v>417767</v>
      </c>
      <c r="CJ15" s="2">
        <f>+D15+K15+R15+Y15+AF15+AM15+AT15+BA15+BH15+BO15+BV15+CC15</f>
        <v>654492.68000000005</v>
      </c>
      <c r="CK15" s="2">
        <f>SUM(CK16)</f>
        <v>1482271.02</v>
      </c>
      <c r="CL15" s="2">
        <f>CK15-CJ15</f>
        <v>827778.34</v>
      </c>
      <c r="CM15" s="27">
        <f>IFERROR(CK15/CJ15,0)</f>
        <v>2.2647633278343156</v>
      </c>
      <c r="CO15" s="4">
        <f t="shared" ref="CO15:CO23" si="0">CH15+CA15+BT15+BM15+BF15+AY15+AR15+AK15+AD15+W15+P15+I15</f>
        <v>1387621.75</v>
      </c>
      <c r="CQ15" s="2">
        <f t="shared" ref="CQ15:CR63" si="1">+D15+K15+R15+Y15+AF15+AM15+AT15+BA15+BH15+BO15+BV15+CC15</f>
        <v>654492.68000000005</v>
      </c>
      <c r="CR15" s="2">
        <f t="shared" si="1"/>
        <v>1482271.02</v>
      </c>
      <c r="CS15" s="2">
        <f>CR15-CQ15</f>
        <v>827778.34</v>
      </c>
      <c r="CT15" s="27">
        <f>IFERROR(CR15/CQ15,0)</f>
        <v>2.2647633278343156</v>
      </c>
      <c r="CV15" s="2">
        <f>+I15+P15+W15+AD15+AK15+AR15+AY15+BF15+BM15+BT15+CA15+CH15</f>
        <v>1387621.75</v>
      </c>
      <c r="CX15" s="2">
        <f>BO15+BV15+CC15</f>
        <v>166019.13</v>
      </c>
      <c r="CY15" s="2">
        <f>BO15+BV15+CC15</f>
        <v>166019.13</v>
      </c>
      <c r="CZ15" s="2">
        <f>CY15*(1+($CY$14))</f>
        <v>190921.99949999998</v>
      </c>
      <c r="DA15" s="2">
        <f>+CZ15+CR15</f>
        <v>1673193.0194999999</v>
      </c>
    </row>
    <row r="16" spans="1:105" s="31" customFormat="1" ht="16.5" customHeight="1" x14ac:dyDescent="0.3">
      <c r="A16" s="29">
        <v>12</v>
      </c>
      <c r="B16" s="30" t="s">
        <v>4</v>
      </c>
      <c r="D16" s="3">
        <v>14131</v>
      </c>
      <c r="E16" s="3">
        <v>15147.77</v>
      </c>
      <c r="F16" s="3">
        <f t="shared" ref="F16:F80" si="2">E16-D16</f>
        <v>1016.7700000000004</v>
      </c>
      <c r="G16" s="32">
        <f t="shared" ref="G16:G80" si="3">IFERROR(E16/D16,0)</f>
        <v>1.0719531526431252</v>
      </c>
      <c r="I16" s="3">
        <v>3360</v>
      </c>
      <c r="K16" s="33">
        <v>112846.59</v>
      </c>
      <c r="L16" s="3">
        <v>1260</v>
      </c>
      <c r="M16" s="3">
        <f t="shared" ref="M16:M63" si="4">L16-K16</f>
        <v>-111586.59</v>
      </c>
      <c r="N16" s="32">
        <f t="shared" ref="N16:N63" si="5">IFERROR(L16/K16,0)</f>
        <v>1.1165601016388711E-2</v>
      </c>
      <c r="P16" s="3">
        <v>192324</v>
      </c>
      <c r="R16" s="3">
        <v>26184.04</v>
      </c>
      <c r="S16" s="3">
        <v>840</v>
      </c>
      <c r="T16" s="3">
        <f t="shared" ref="T16:T63" si="6">S16-R16</f>
        <v>-25344.04</v>
      </c>
      <c r="U16" s="32">
        <f t="shared" ref="U16:U63" si="7">IFERROR(S16/R16,0)</f>
        <v>3.2080610937044091E-2</v>
      </c>
      <c r="W16" s="3">
        <v>420</v>
      </c>
      <c r="Y16" s="3">
        <v>32382.9</v>
      </c>
      <c r="Z16" s="34">
        <v>362025</v>
      </c>
      <c r="AA16" s="3">
        <f t="shared" ref="AA16:AA63" si="8">Z16-Y16</f>
        <v>329642.09999999998</v>
      </c>
      <c r="AB16" s="32">
        <f t="shared" ref="AB16:AB63" si="9">IFERROR(Z16/Y16,0)</f>
        <v>11.179511408799089</v>
      </c>
      <c r="AD16" s="3">
        <v>96189</v>
      </c>
      <c r="AF16" s="3">
        <v>61019.58</v>
      </c>
      <c r="AG16" s="34">
        <v>126231.25</v>
      </c>
      <c r="AH16" s="3">
        <f t="shared" ref="AH16:AH63" si="10">AG16-AF16</f>
        <v>65211.67</v>
      </c>
      <c r="AI16" s="32">
        <f t="shared" ref="AI16:AI63" si="11">IFERROR(AG16/AF16,0)</f>
        <v>2.0687007350755282</v>
      </c>
      <c r="AK16" s="3">
        <v>94682</v>
      </c>
      <c r="AM16" s="3">
        <v>359.22</v>
      </c>
      <c r="AN16" s="3">
        <v>120225</v>
      </c>
      <c r="AO16" s="3">
        <f t="shared" ref="AO16:AO63" si="12">AN16-AM16</f>
        <v>119865.78</v>
      </c>
      <c r="AP16" s="32">
        <f t="shared" ref="AP16:AP63" si="13">IFERROR(AN16/AM16,0)</f>
        <v>334.68348087522963</v>
      </c>
      <c r="AR16" s="3">
        <v>1090</v>
      </c>
      <c r="AT16" s="3">
        <v>182574.27</v>
      </c>
      <c r="AU16" s="3">
        <v>122025</v>
      </c>
      <c r="AV16" s="3">
        <f t="shared" ref="AV16:AV63" si="14">AU16-AT16</f>
        <v>-60549.26999999999</v>
      </c>
      <c r="AW16" s="32">
        <f t="shared" ref="AW16:AW63" si="15">IFERROR(AU16/AT16,0)</f>
        <v>0.66835814268899996</v>
      </c>
      <c r="AY16" s="3">
        <v>375441</v>
      </c>
      <c r="BA16" s="3">
        <v>0</v>
      </c>
      <c r="BB16" s="3">
        <v>245310</v>
      </c>
      <c r="BC16" s="3">
        <f t="shared" ref="BC16:BC63" si="16">BB16-BA16</f>
        <v>245310</v>
      </c>
      <c r="BD16" s="32">
        <f t="shared" ref="BD16:BD63" si="17">IFERROR(BB16/BA16,0)</f>
        <v>0</v>
      </c>
      <c r="BF16" s="3">
        <v>0</v>
      </c>
      <c r="BH16" s="3">
        <v>58975.95</v>
      </c>
      <c r="BI16" s="3">
        <v>125490</v>
      </c>
      <c r="BJ16" s="3">
        <f t="shared" ref="BJ16:BJ63" si="18">BI16-BH16</f>
        <v>66514.05</v>
      </c>
      <c r="BK16" s="32">
        <f t="shared" ref="BK16:BK63" si="19">IFERROR(BI16/BH16,0)</f>
        <v>2.1278165082546363</v>
      </c>
      <c r="BM16" s="3"/>
      <c r="BO16" s="3">
        <v>70908.209999999992</v>
      </c>
      <c r="BP16" s="3">
        <f>121125-450</f>
        <v>120675</v>
      </c>
      <c r="BQ16" s="3">
        <f t="shared" ref="BQ16:BQ63" si="20">BP16-BO16</f>
        <v>49766.790000000008</v>
      </c>
      <c r="BR16" s="32">
        <f t="shared" ref="BR16:BR63" si="21">IFERROR(BP16/BO16,0)</f>
        <v>1.7018480652663495</v>
      </c>
      <c r="BT16" s="3">
        <v>206348.75</v>
      </c>
      <c r="BV16" s="3">
        <v>0</v>
      </c>
      <c r="BW16" s="34">
        <v>120225</v>
      </c>
      <c r="BX16" s="3">
        <f t="shared" ref="BX16:BX63" si="22">BW16-BV16</f>
        <v>120225</v>
      </c>
      <c r="BY16" s="32">
        <f t="shared" ref="BY16:BY63" si="23">IFERROR(BW16/BV16,0)</f>
        <v>0</v>
      </c>
      <c r="CA16" s="3"/>
      <c r="CC16" s="3">
        <v>95110.92</v>
      </c>
      <c r="CD16" s="3">
        <v>122817</v>
      </c>
      <c r="CE16" s="3">
        <f t="shared" ref="CE16:CE63" si="24">CD16-CC16</f>
        <v>27706.080000000002</v>
      </c>
      <c r="CF16" s="32">
        <f t="shared" ref="CF16:CF63" si="25">IFERROR(CD16/CC16,0)</f>
        <v>1.2913028283187673</v>
      </c>
      <c r="CH16" s="3">
        <v>417767</v>
      </c>
      <c r="CJ16" s="3">
        <f t="shared" ref="CJ16:CJ79" si="26">+D16+K16+R16+Y16+AF16+AM16+AT16+BA16+BH16+BO16+BV16+CC16</f>
        <v>654492.68000000005</v>
      </c>
      <c r="CK16" s="3">
        <f>+E16+L16+S16+Z16+AG16+AN16+AU16+BB16+BI16+BP16+BW16+CD16</f>
        <v>1482271.02</v>
      </c>
      <c r="CL16" s="3">
        <f t="shared" ref="CL16:CL63" si="27">CK16-CJ16</f>
        <v>827778.34</v>
      </c>
      <c r="CM16" s="32">
        <f t="shared" ref="CM16:CM63" si="28">IFERROR(CK16/CJ16,0)</f>
        <v>2.2647633278343156</v>
      </c>
      <c r="CO16" s="3">
        <f t="shared" si="0"/>
        <v>1387621.75</v>
      </c>
      <c r="CQ16" s="3">
        <f t="shared" si="1"/>
        <v>654492.68000000005</v>
      </c>
      <c r="CR16" s="3">
        <f t="shared" si="1"/>
        <v>1482271.02</v>
      </c>
      <c r="CS16" s="3">
        <f t="shared" ref="CS16:CS63" si="29">CR16-CQ16</f>
        <v>827778.34</v>
      </c>
      <c r="CT16" s="32">
        <f t="shared" ref="CT16:CT63" si="30">IFERROR(CR16/CQ16,0)</f>
        <v>2.2647633278343156</v>
      </c>
      <c r="CV16" s="3">
        <f t="shared" ref="CV16:CV63" si="31">+I16+P16+W16+AD16+AK16+AR16+AY16+BF16+BM16+BT16+CA16+CH16</f>
        <v>1387621.75</v>
      </c>
      <c r="CX16" s="3">
        <f t="shared" ref="CX16:CX79" si="32">BO16+BV16+CC16</f>
        <v>166019.13</v>
      </c>
      <c r="CY16" s="3">
        <f t="shared" ref="CY16:CY79" si="33">BO16+BV16+CC16</f>
        <v>166019.13</v>
      </c>
      <c r="CZ16" s="3">
        <f t="shared" ref="CZ16:CZ64" si="34">CY16*(1+($CY$14))</f>
        <v>190921.99949999998</v>
      </c>
      <c r="DA16" s="3">
        <f t="shared" ref="DA16:DA79" si="35">+CZ16+CR16</f>
        <v>1673193.0194999999</v>
      </c>
    </row>
    <row r="17" spans="1:105" s="26" customFormat="1" ht="16.5" customHeight="1" x14ac:dyDescent="0.3">
      <c r="A17" s="35"/>
      <c r="B17" s="36" t="s">
        <v>5</v>
      </c>
      <c r="D17" s="4">
        <f>SUM(D18:D20)</f>
        <v>113402262.09</v>
      </c>
      <c r="E17" s="4">
        <f>SUM(E18:E20)</f>
        <v>120791620.56999999</v>
      </c>
      <c r="F17" s="5">
        <f t="shared" si="2"/>
        <v>7389358.4799999893</v>
      </c>
      <c r="G17" s="37">
        <f t="shared" si="3"/>
        <v>1.0651605915421294</v>
      </c>
      <c r="I17" s="5">
        <f>SUM(I18:I20)</f>
        <v>97624501.120000005</v>
      </c>
      <c r="K17" s="4">
        <f>SUM(K18:K20)</f>
        <v>16353992.359999999</v>
      </c>
      <c r="L17" s="4">
        <f>SUM(L18:L20)</f>
        <v>22137995.5</v>
      </c>
      <c r="M17" s="5">
        <f t="shared" si="4"/>
        <v>5784003.1400000006</v>
      </c>
      <c r="N17" s="37">
        <f t="shared" si="5"/>
        <v>1.353675299136559</v>
      </c>
      <c r="P17" s="5">
        <f>SUM(P18:P20)</f>
        <v>19964290.68</v>
      </c>
      <c r="R17" s="4">
        <f>SUM(R18:R20)</f>
        <v>13147509.890000001</v>
      </c>
      <c r="S17" s="4">
        <f>SUM(S18:S20)</f>
        <v>17751761.439999998</v>
      </c>
      <c r="T17" s="5">
        <f t="shared" si="6"/>
        <v>4604251.549999997</v>
      </c>
      <c r="U17" s="37">
        <f t="shared" si="7"/>
        <v>1.3501995121906691</v>
      </c>
      <c r="W17" s="5">
        <f>SUM(W18:W20)</f>
        <v>18148526.27</v>
      </c>
      <c r="Y17" s="4">
        <f>SUM(Y18:Y20)</f>
        <v>12878942.290000001</v>
      </c>
      <c r="Z17" s="4">
        <f>SUM(Z18:Z20)</f>
        <v>18310480.710000001</v>
      </c>
      <c r="AA17" s="5">
        <f t="shared" si="8"/>
        <v>5431538.4199999999</v>
      </c>
      <c r="AB17" s="37">
        <f t="shared" si="9"/>
        <v>1.4217379267408767</v>
      </c>
      <c r="AD17" s="5">
        <f>SUM(AD18:AD20)</f>
        <v>24443691.25</v>
      </c>
      <c r="AF17" s="4">
        <f>SUM(AF18:AF20)</f>
        <v>11589825.43</v>
      </c>
      <c r="AG17" s="4">
        <f>SUM(AG18:AG20)</f>
        <v>25987884.329999998</v>
      </c>
      <c r="AH17" s="5">
        <f t="shared" si="10"/>
        <v>14398058.899999999</v>
      </c>
      <c r="AI17" s="37">
        <f t="shared" si="11"/>
        <v>2.2423016193782308</v>
      </c>
      <c r="AK17" s="5">
        <f>SUM(AK18:AK20)</f>
        <v>18545825.540000003</v>
      </c>
      <c r="AM17" s="4">
        <f>SUM(AM18:AM20)</f>
        <v>13678158.629999999</v>
      </c>
      <c r="AN17" s="4">
        <f>SUM(AN18:AN20)</f>
        <v>40702897.440000005</v>
      </c>
      <c r="AO17" s="5">
        <f t="shared" si="12"/>
        <v>27024738.810000006</v>
      </c>
      <c r="AP17" s="37">
        <f t="shared" si="13"/>
        <v>2.9757585462364249</v>
      </c>
      <c r="AR17" s="5">
        <f>SUM(AR18:AR20)</f>
        <v>21805036.430000003</v>
      </c>
      <c r="AT17" s="4">
        <f>SUM(AT18:AT20)</f>
        <v>15104240.91</v>
      </c>
      <c r="AU17" s="4">
        <f>SUM(AU18:AU20)</f>
        <v>25083311.259999998</v>
      </c>
      <c r="AV17" s="5">
        <f t="shared" si="14"/>
        <v>9979070.3499999978</v>
      </c>
      <c r="AW17" s="37">
        <f t="shared" si="15"/>
        <v>1.6606800308245346</v>
      </c>
      <c r="AY17" s="5">
        <f>SUM(AY18:AY20)</f>
        <v>26433875.93</v>
      </c>
      <c r="BA17" s="5">
        <f>SUM(BA18:BA20)</f>
        <v>12072432.069999998</v>
      </c>
      <c r="BB17" s="4">
        <f>SUM(BB18:BB20)</f>
        <v>21175845.419999998</v>
      </c>
      <c r="BC17" s="5">
        <f t="shared" si="16"/>
        <v>9103413.3499999996</v>
      </c>
      <c r="BD17" s="37">
        <f t="shared" si="17"/>
        <v>1.7540662309976454</v>
      </c>
      <c r="BF17" s="5">
        <f>SUM(BF18:BF20)</f>
        <v>18055728.960000001</v>
      </c>
      <c r="BH17" s="4">
        <f>SUM(BH18:BH20)</f>
        <v>11732159.969999999</v>
      </c>
      <c r="BI17" s="4">
        <f>SUM(BI18:BI20)</f>
        <v>28948379.75</v>
      </c>
      <c r="BJ17" s="5">
        <f t="shared" si="18"/>
        <v>17216219.780000001</v>
      </c>
      <c r="BK17" s="37">
        <f t="shared" si="19"/>
        <v>2.4674382060953097</v>
      </c>
      <c r="BM17" s="5">
        <f>SUM(BM18:BM20)</f>
        <v>20602582.690000001</v>
      </c>
      <c r="BO17" s="4">
        <f>SUM(BO18:BO20)</f>
        <v>11651479.210000001</v>
      </c>
      <c r="BP17" s="4">
        <f>SUM(BP18:BP20)</f>
        <v>26962426.819999997</v>
      </c>
      <c r="BQ17" s="5">
        <f t="shared" si="20"/>
        <v>15310947.609999996</v>
      </c>
      <c r="BR17" s="37">
        <f t="shared" si="21"/>
        <v>2.3140775805409515</v>
      </c>
      <c r="BT17" s="5">
        <f>SUM(BT18:BT20)</f>
        <v>18396154.960000001</v>
      </c>
      <c r="BV17" s="5">
        <f>SUM(BV18:BV20)</f>
        <v>14211205.200000001</v>
      </c>
      <c r="BW17" s="4">
        <f>SUM(BW18:BW20)</f>
        <v>27411637.5</v>
      </c>
      <c r="BX17" s="5">
        <f t="shared" si="22"/>
        <v>13200432.299999999</v>
      </c>
      <c r="BY17" s="37">
        <f t="shared" si="23"/>
        <v>1.9288749345481266</v>
      </c>
      <c r="CA17" s="5">
        <f>SUM(CA18:CA20)</f>
        <v>20380751.119999997</v>
      </c>
      <c r="CC17" s="4">
        <f>SUM(CC18:CC20)</f>
        <v>13196732.959999999</v>
      </c>
      <c r="CD17" s="4">
        <f>SUM(CD18:CD20)</f>
        <v>33687336.780000001</v>
      </c>
      <c r="CE17" s="5">
        <f t="shared" si="24"/>
        <v>20490603.82</v>
      </c>
      <c r="CF17" s="37">
        <f t="shared" si="25"/>
        <v>2.5527027698528202</v>
      </c>
      <c r="CH17" s="5">
        <f>SUM(CH18:CH20)</f>
        <v>31022270.890000001</v>
      </c>
      <c r="CJ17" s="5">
        <f t="shared" si="26"/>
        <v>259018941.00999999</v>
      </c>
      <c r="CK17" s="4">
        <f>SUM(CK18:CK20)</f>
        <v>408951577.51999998</v>
      </c>
      <c r="CL17" s="5">
        <f t="shared" si="27"/>
        <v>149932636.50999999</v>
      </c>
      <c r="CM17" s="37">
        <f t="shared" si="28"/>
        <v>1.5788481565300334</v>
      </c>
      <c r="CO17" s="4">
        <f t="shared" si="0"/>
        <v>335423235.84000003</v>
      </c>
      <c r="CQ17" s="5">
        <f t="shared" si="1"/>
        <v>259018941.00999999</v>
      </c>
      <c r="CR17" s="5">
        <f t="shared" si="1"/>
        <v>408951577.51999998</v>
      </c>
      <c r="CS17" s="5">
        <f t="shared" si="29"/>
        <v>149932636.50999999</v>
      </c>
      <c r="CT17" s="37">
        <f t="shared" si="30"/>
        <v>1.5788481565300334</v>
      </c>
      <c r="CV17" s="5">
        <f t="shared" si="31"/>
        <v>335423235.84000003</v>
      </c>
      <c r="CX17" s="5">
        <f>BO17+BV17+CC17</f>
        <v>39059417.370000005</v>
      </c>
      <c r="CY17" s="5">
        <f t="shared" si="33"/>
        <v>39059417.370000005</v>
      </c>
      <c r="CZ17" s="5">
        <f t="shared" si="34"/>
        <v>44918329.975500003</v>
      </c>
      <c r="DA17" s="5">
        <f t="shared" si="35"/>
        <v>453869907.49549997</v>
      </c>
    </row>
    <row r="18" spans="1:105" s="31" customFormat="1" ht="16.5" customHeight="1" x14ac:dyDescent="0.3">
      <c r="A18" s="29">
        <v>13</v>
      </c>
      <c r="B18" s="30" t="s">
        <v>6</v>
      </c>
      <c r="D18" s="3">
        <v>103493109</v>
      </c>
      <c r="E18" s="3">
        <v>109914565.94</v>
      </c>
      <c r="F18" s="3">
        <f t="shared" si="2"/>
        <v>6421456.9399999976</v>
      </c>
      <c r="G18" s="32">
        <f t="shared" si="3"/>
        <v>1.0620471933063678</v>
      </c>
      <c r="I18" s="3">
        <v>89980344.430000007</v>
      </c>
      <c r="K18" s="33">
        <v>8541502.7699999996</v>
      </c>
      <c r="L18" s="3">
        <f>12102026.02-1655863.28</f>
        <v>10446162.74</v>
      </c>
      <c r="M18" s="3">
        <f t="shared" si="4"/>
        <v>1904659.9700000007</v>
      </c>
      <c r="N18" s="32">
        <f t="shared" si="5"/>
        <v>1.2229888605421597</v>
      </c>
      <c r="P18" s="3">
        <v>7830278.79</v>
      </c>
      <c r="R18" s="3">
        <v>3900201.3</v>
      </c>
      <c r="S18" s="3">
        <f>6263943.81-1557093.81</f>
        <v>4706850</v>
      </c>
      <c r="T18" s="3">
        <f t="shared" si="6"/>
        <v>806648.70000000019</v>
      </c>
      <c r="U18" s="32">
        <f t="shared" si="7"/>
        <v>1.2068223247861591</v>
      </c>
      <c r="W18" s="3">
        <v>4205267.9000000004</v>
      </c>
      <c r="Y18" s="3">
        <v>1642792.18</v>
      </c>
      <c r="Z18" s="34">
        <f>5804001.92-2439737.71</f>
        <v>3364264.21</v>
      </c>
      <c r="AA18" s="3">
        <f t="shared" si="8"/>
        <v>1721472.03</v>
      </c>
      <c r="AB18" s="32">
        <f t="shared" si="9"/>
        <v>2.0478939764614656</v>
      </c>
      <c r="AD18" s="3">
        <v>2244630.33</v>
      </c>
      <c r="AF18" s="3">
        <v>2344510.4300000002</v>
      </c>
      <c r="AG18" s="34">
        <f>6089919.97-1395895.61</f>
        <v>4694024.3599999994</v>
      </c>
      <c r="AH18" s="3">
        <f t="shared" si="10"/>
        <v>2349513.9299999992</v>
      </c>
      <c r="AI18" s="32">
        <f t="shared" si="11"/>
        <v>2.0021341342465253</v>
      </c>
      <c r="AK18" s="3">
        <v>2927549.3499999996</v>
      </c>
      <c r="AM18" s="3">
        <v>2201418.2400000002</v>
      </c>
      <c r="AN18" s="3">
        <f>3713431.74-345217.86</f>
        <v>3368213.8800000004</v>
      </c>
      <c r="AO18" s="3">
        <f t="shared" si="12"/>
        <v>1166795.6400000001</v>
      </c>
      <c r="AP18" s="32">
        <f t="shared" si="13"/>
        <v>1.5300199747595442</v>
      </c>
      <c r="AR18" s="3">
        <v>2131543.71</v>
      </c>
      <c r="AT18" s="3">
        <v>2465588.4300000002</v>
      </c>
      <c r="AU18" s="3">
        <f>4904044.83-603726.54</f>
        <v>4300318.29</v>
      </c>
      <c r="AV18" s="3">
        <f t="shared" si="14"/>
        <v>1834729.8599999999</v>
      </c>
      <c r="AW18" s="32">
        <f t="shared" si="15"/>
        <v>1.7441346810667828</v>
      </c>
      <c r="AY18" s="3">
        <v>2984971.86</v>
      </c>
      <c r="BA18" s="3">
        <v>2377531.7000000002</v>
      </c>
      <c r="BB18" s="3">
        <f>4004618.24-454937.91</f>
        <v>3549680.33</v>
      </c>
      <c r="BC18" s="3">
        <f t="shared" si="16"/>
        <v>1172148.6299999999</v>
      </c>
      <c r="BD18" s="32">
        <f t="shared" si="17"/>
        <v>1.4930107262081931</v>
      </c>
      <c r="BF18" s="3">
        <v>2120447.4300000002</v>
      </c>
      <c r="BH18" s="3">
        <v>2256453.7000000002</v>
      </c>
      <c r="BI18" s="3">
        <f>3538607.6-560664.03</f>
        <v>2977943.5700000003</v>
      </c>
      <c r="BJ18" s="3">
        <f t="shared" si="18"/>
        <v>721489.87000000011</v>
      </c>
      <c r="BK18" s="32">
        <f t="shared" si="19"/>
        <v>1.3197450362043768</v>
      </c>
      <c r="BM18" s="3">
        <v>2589112.0699999998</v>
      </c>
      <c r="BO18" s="3">
        <v>2267460.79</v>
      </c>
      <c r="BP18" s="3">
        <f>4763053.53-1255700.25</f>
        <v>3507353.2800000003</v>
      </c>
      <c r="BQ18" s="3">
        <f t="shared" si="20"/>
        <v>1239892.4900000002</v>
      </c>
      <c r="BR18" s="32">
        <f t="shared" si="21"/>
        <v>1.5468198151289754</v>
      </c>
      <c r="BT18" s="3">
        <f>3181358.69-719822.58</f>
        <v>2461536.11</v>
      </c>
      <c r="BV18" s="3">
        <v>4501900.3</v>
      </c>
      <c r="BW18" s="34">
        <f>6141031.78-343158.94</f>
        <v>5797872.8399999999</v>
      </c>
      <c r="BX18" s="3">
        <f t="shared" si="22"/>
        <v>1295972.54</v>
      </c>
      <c r="BY18" s="32">
        <f t="shared" si="23"/>
        <v>1.2878723324903485</v>
      </c>
      <c r="CA18" s="3">
        <f>12107398.82-5889191</f>
        <v>6218207.8200000003</v>
      </c>
      <c r="CC18" s="3">
        <v>3493828.45</v>
      </c>
      <c r="CD18" s="3">
        <f>8963356.35-2859047.1</f>
        <v>6104309.25</v>
      </c>
      <c r="CE18" s="3">
        <f t="shared" si="24"/>
        <v>2610480.7999999998</v>
      </c>
      <c r="CF18" s="32">
        <f t="shared" si="25"/>
        <v>1.7471691404882801</v>
      </c>
      <c r="CH18" s="3">
        <f>6379621.83-441121.2</f>
        <v>5938500.6299999999</v>
      </c>
      <c r="CJ18" s="3">
        <f t="shared" si="26"/>
        <v>139486297.29000002</v>
      </c>
      <c r="CK18" s="3">
        <f>+E18+L18+S18+Z18+AG18+AN18+AU18+BB18+BI18+BP18+BW18+CD18</f>
        <v>162731558.69</v>
      </c>
      <c r="CL18" s="3">
        <f t="shared" si="27"/>
        <v>23245261.399999976</v>
      </c>
      <c r="CM18" s="32">
        <f t="shared" si="28"/>
        <v>1.1666490676978236</v>
      </c>
      <c r="CO18" s="3">
        <f t="shared" si="0"/>
        <v>131632390.43000001</v>
      </c>
      <c r="CQ18" s="3">
        <f t="shared" si="1"/>
        <v>139486297.29000002</v>
      </c>
      <c r="CR18" s="3">
        <f t="shared" si="1"/>
        <v>162731558.69</v>
      </c>
      <c r="CS18" s="3">
        <f t="shared" si="29"/>
        <v>23245261.399999976</v>
      </c>
      <c r="CT18" s="32">
        <f t="shared" si="30"/>
        <v>1.1666490676978236</v>
      </c>
      <c r="CV18" s="3">
        <f t="shared" si="31"/>
        <v>131632390.43000001</v>
      </c>
      <c r="CX18" s="3">
        <f>BO18+BV18+CC18</f>
        <v>10263189.539999999</v>
      </c>
      <c r="CY18" s="3">
        <f t="shared" si="33"/>
        <v>10263189.539999999</v>
      </c>
      <c r="CZ18" s="3">
        <f t="shared" si="34"/>
        <v>11802667.970999999</v>
      </c>
      <c r="DA18" s="3">
        <f t="shared" si="35"/>
        <v>174534226.66099998</v>
      </c>
    </row>
    <row r="19" spans="1:105" s="31" customFormat="1" ht="16.5" customHeight="1" x14ac:dyDescent="0.3">
      <c r="A19" s="29">
        <v>14</v>
      </c>
      <c r="B19" s="30" t="s">
        <v>7</v>
      </c>
      <c r="D19" s="3">
        <v>9755624</v>
      </c>
      <c r="E19" s="3">
        <v>10287970</v>
      </c>
      <c r="F19" s="3">
        <f t="shared" si="2"/>
        <v>532346</v>
      </c>
      <c r="G19" s="32">
        <f t="shared" si="3"/>
        <v>1.0545681137362408</v>
      </c>
      <c r="I19" s="3">
        <v>7092359.7699999996</v>
      </c>
      <c r="K19" s="33">
        <v>7611768.1100000003</v>
      </c>
      <c r="L19" s="3">
        <f>11709589.44-93291.4</f>
        <v>11616298.039999999</v>
      </c>
      <c r="M19" s="3">
        <f t="shared" si="4"/>
        <v>4004529.9299999988</v>
      </c>
      <c r="N19" s="32">
        <f t="shared" si="5"/>
        <v>1.5260972052917674</v>
      </c>
      <c r="P19" s="3">
        <v>11829296.65</v>
      </c>
      <c r="R19" s="3">
        <v>9169631.5399999991</v>
      </c>
      <c r="S19" s="3">
        <f>12852037.27-27988.46</f>
        <v>12824048.809999999</v>
      </c>
      <c r="T19" s="3">
        <f t="shared" si="6"/>
        <v>3654417.2699999996</v>
      </c>
      <c r="U19" s="32">
        <f t="shared" si="7"/>
        <v>1.3985347997963287</v>
      </c>
      <c r="W19" s="3">
        <v>13579548.729999999</v>
      </c>
      <c r="Y19" s="3">
        <v>10969950.060000001</v>
      </c>
      <c r="Z19" s="34">
        <f>14685973.43-49465.53</f>
        <v>14636507.9</v>
      </c>
      <c r="AA19" s="3">
        <f t="shared" si="8"/>
        <v>3666557.84</v>
      </c>
      <c r="AB19" s="32">
        <f t="shared" si="9"/>
        <v>1.3342365115561885</v>
      </c>
      <c r="AD19" s="3">
        <v>21242314.75</v>
      </c>
      <c r="AF19" s="3">
        <v>9066458.1600000001</v>
      </c>
      <c r="AG19" s="34">
        <f>20141822.13-177596.14</f>
        <v>19964225.989999998</v>
      </c>
      <c r="AH19" s="3">
        <f t="shared" si="10"/>
        <v>10897767.829999998</v>
      </c>
      <c r="AI19" s="32">
        <f t="shared" si="11"/>
        <v>2.2019873293056698</v>
      </c>
      <c r="AK19" s="3">
        <v>15407851.5</v>
      </c>
      <c r="AM19" s="3">
        <v>11388696.1</v>
      </c>
      <c r="AN19" s="3">
        <v>36053481.990000002</v>
      </c>
      <c r="AO19" s="3">
        <f t="shared" si="12"/>
        <v>24664785.890000001</v>
      </c>
      <c r="AP19" s="32">
        <f t="shared" si="13"/>
        <v>3.1657251781439673</v>
      </c>
      <c r="AR19" s="3">
        <v>19596928.310000002</v>
      </c>
      <c r="AT19" s="3">
        <v>10870181.390000001</v>
      </c>
      <c r="AU19" s="3">
        <v>19102506.239999998</v>
      </c>
      <c r="AV19" s="3">
        <f t="shared" si="14"/>
        <v>8232324.8499999978</v>
      </c>
      <c r="AW19" s="32">
        <f t="shared" si="15"/>
        <v>1.7573309547137186</v>
      </c>
      <c r="AY19" s="3">
        <v>17092865.010000002</v>
      </c>
      <c r="BA19" s="3">
        <v>9114058.0199999996</v>
      </c>
      <c r="BB19" s="3">
        <v>16769827.390000001</v>
      </c>
      <c r="BC19" s="3">
        <f t="shared" si="16"/>
        <v>7655769.370000001</v>
      </c>
      <c r="BD19" s="32">
        <f t="shared" si="17"/>
        <v>1.8399956806507143</v>
      </c>
      <c r="BF19" s="3">
        <v>14295542.9</v>
      </c>
      <c r="BH19" s="3">
        <v>9225205.0700000003</v>
      </c>
      <c r="BI19" s="3">
        <f>25534352.27-542845.39</f>
        <v>24991506.879999999</v>
      </c>
      <c r="BJ19" s="3">
        <f t="shared" si="18"/>
        <v>15766301.809999999</v>
      </c>
      <c r="BK19" s="32">
        <f t="shared" si="19"/>
        <v>2.709046215272914</v>
      </c>
      <c r="BM19" s="3">
        <v>17813457.640000001</v>
      </c>
      <c r="BO19" s="3">
        <v>9336352.1199999992</v>
      </c>
      <c r="BP19" s="3">
        <f>22714633.58-8569.37</f>
        <v>22706064.209999997</v>
      </c>
      <c r="BQ19" s="3">
        <f t="shared" si="20"/>
        <v>13369712.089999998</v>
      </c>
      <c r="BR19" s="32">
        <f t="shared" si="21"/>
        <v>2.4320059824393168</v>
      </c>
      <c r="BT19" s="3">
        <f>15622071.37-140.2</f>
        <v>15621931.17</v>
      </c>
      <c r="BV19" s="3">
        <v>9170925</v>
      </c>
      <c r="BW19" s="34">
        <v>21192699.649999999</v>
      </c>
      <c r="BX19" s="3">
        <f t="shared" si="22"/>
        <v>12021774.649999999</v>
      </c>
      <c r="BY19" s="32">
        <f t="shared" si="23"/>
        <v>2.310857372620537</v>
      </c>
      <c r="CA19" s="3">
        <f>14459425.37-1325417.29</f>
        <v>13134008.079999998</v>
      </c>
      <c r="CC19" s="3">
        <v>9567084.1600000001</v>
      </c>
      <c r="CD19" s="3">
        <f>26518637.29-256954.3</f>
        <v>26261682.989999998</v>
      </c>
      <c r="CE19" s="3">
        <f t="shared" si="24"/>
        <v>16694598.829999998</v>
      </c>
      <c r="CF19" s="32">
        <f t="shared" si="25"/>
        <v>2.7450038643749108</v>
      </c>
      <c r="CH19" s="3">
        <v>25079552.23</v>
      </c>
      <c r="CJ19" s="3">
        <f t="shared" si="26"/>
        <v>115245933.73000002</v>
      </c>
      <c r="CK19" s="3">
        <f>+E19+L19+S19+Z19+AG19+AN19+AU19+BB19+BI19+BP19+BW19+CD19</f>
        <v>236406820.09</v>
      </c>
      <c r="CL19" s="3">
        <f t="shared" si="27"/>
        <v>121160886.35999998</v>
      </c>
      <c r="CM19" s="32">
        <f t="shared" si="28"/>
        <v>2.0513246102362066</v>
      </c>
      <c r="CO19" s="3">
        <f t="shared" si="0"/>
        <v>191785656.74000004</v>
      </c>
      <c r="CQ19" s="3">
        <f t="shared" si="1"/>
        <v>115245933.73000002</v>
      </c>
      <c r="CR19" s="3">
        <f>+E19+L19+S19+Z19+AG19+AN19+AU19+BB19+BI19+BP19+BW19+CD19</f>
        <v>236406820.09</v>
      </c>
      <c r="CS19" s="3">
        <f t="shared" si="29"/>
        <v>121160886.35999998</v>
      </c>
      <c r="CT19" s="32">
        <f t="shared" si="30"/>
        <v>2.0513246102362066</v>
      </c>
      <c r="CV19" s="3">
        <f t="shared" si="31"/>
        <v>191785656.73999998</v>
      </c>
      <c r="CX19" s="3">
        <f t="shared" si="32"/>
        <v>28074361.279999997</v>
      </c>
      <c r="CY19" s="3">
        <f t="shared" si="33"/>
        <v>28074361.279999997</v>
      </c>
      <c r="CZ19" s="3">
        <f t="shared" si="34"/>
        <v>32285515.471999995</v>
      </c>
      <c r="DA19" s="3">
        <f t="shared" si="35"/>
        <v>268692335.56199998</v>
      </c>
    </row>
    <row r="20" spans="1:105" s="31" customFormat="1" ht="16.5" customHeight="1" x14ac:dyDescent="0.3">
      <c r="A20" s="29">
        <v>15</v>
      </c>
      <c r="B20" s="30" t="s">
        <v>8</v>
      </c>
      <c r="D20" s="3">
        <v>153529.09</v>
      </c>
      <c r="E20" s="3">
        <v>589084.63</v>
      </c>
      <c r="F20" s="3">
        <f t="shared" si="2"/>
        <v>435555.54000000004</v>
      </c>
      <c r="G20" s="32">
        <f t="shared" si="3"/>
        <v>3.8369577387581728</v>
      </c>
      <c r="I20" s="3">
        <v>551796.92000000004</v>
      </c>
      <c r="K20" s="33">
        <v>200721.48</v>
      </c>
      <c r="L20" s="3">
        <v>75534.720000000001</v>
      </c>
      <c r="M20" s="3">
        <f t="shared" si="4"/>
        <v>-125186.76000000001</v>
      </c>
      <c r="N20" s="32">
        <f t="shared" si="5"/>
        <v>0.37631607738245054</v>
      </c>
      <c r="P20" s="3">
        <v>304715.24</v>
      </c>
      <c r="R20" s="3">
        <v>77677.05</v>
      </c>
      <c r="S20" s="3">
        <f>233585.04-12722.41</f>
        <v>220862.63</v>
      </c>
      <c r="T20" s="3">
        <f t="shared" si="6"/>
        <v>143185.58000000002</v>
      </c>
      <c r="U20" s="32">
        <f t="shared" si="7"/>
        <v>2.8433447202230258</v>
      </c>
      <c r="W20" s="3">
        <v>363709.64</v>
      </c>
      <c r="Y20" s="3">
        <v>266200.05</v>
      </c>
      <c r="Z20" s="34">
        <v>309708.59999999998</v>
      </c>
      <c r="AA20" s="3">
        <f t="shared" si="8"/>
        <v>43508.549999999988</v>
      </c>
      <c r="AB20" s="32">
        <f t="shared" si="9"/>
        <v>1.1634430572045347</v>
      </c>
      <c r="AD20" s="3">
        <v>956746.17</v>
      </c>
      <c r="AF20" s="3">
        <v>178856.84</v>
      </c>
      <c r="AG20" s="34">
        <f>1942475.18-612841.2</f>
        <v>1329633.98</v>
      </c>
      <c r="AH20" s="3">
        <f t="shared" si="10"/>
        <v>1150777.1399999999</v>
      </c>
      <c r="AI20" s="32">
        <f t="shared" si="11"/>
        <v>7.4340683867611661</v>
      </c>
      <c r="AK20" s="3">
        <v>210424.69</v>
      </c>
      <c r="AM20" s="3">
        <v>88044.29</v>
      </c>
      <c r="AN20" s="3">
        <f>1346000.61-64799.04</f>
        <v>1281201.57</v>
      </c>
      <c r="AO20" s="3">
        <f t="shared" si="12"/>
        <v>1193157.28</v>
      </c>
      <c r="AP20" s="32">
        <f t="shared" si="13"/>
        <v>14.551784902802899</v>
      </c>
      <c r="AR20" s="3">
        <v>76564.41</v>
      </c>
      <c r="AT20" s="3">
        <v>1768471.09</v>
      </c>
      <c r="AU20" s="3">
        <v>1680486.73</v>
      </c>
      <c r="AV20" s="3">
        <f t="shared" si="14"/>
        <v>-87984.360000000102</v>
      </c>
      <c r="AW20" s="32">
        <f t="shared" si="15"/>
        <v>0.95024834700577432</v>
      </c>
      <c r="AY20" s="3">
        <v>6356039.0599999996</v>
      </c>
      <c r="BA20" s="3">
        <v>580842.35</v>
      </c>
      <c r="BB20" s="3">
        <v>856337.7</v>
      </c>
      <c r="BC20" s="3">
        <f t="shared" si="16"/>
        <v>275495.34999999998</v>
      </c>
      <c r="BD20" s="32">
        <f t="shared" si="17"/>
        <v>1.4743031392252992</v>
      </c>
      <c r="BF20" s="3">
        <v>1639738.63</v>
      </c>
      <c r="BH20" s="3">
        <v>250501.2</v>
      </c>
      <c r="BI20" s="3">
        <v>978929.3</v>
      </c>
      <c r="BJ20" s="3">
        <f t="shared" si="18"/>
        <v>728428.10000000009</v>
      </c>
      <c r="BK20" s="32">
        <f t="shared" si="19"/>
        <v>3.9078826768095323</v>
      </c>
      <c r="BM20" s="3">
        <v>200012.98</v>
      </c>
      <c r="BO20" s="3">
        <v>47666.3</v>
      </c>
      <c r="BP20" s="3">
        <f>749009.33</f>
        <v>749009.33</v>
      </c>
      <c r="BQ20" s="3">
        <f t="shared" si="20"/>
        <v>701343.02999999991</v>
      </c>
      <c r="BR20" s="32">
        <f t="shared" si="21"/>
        <v>15.713603321424149</v>
      </c>
      <c r="BT20" s="3">
        <v>312687.68</v>
      </c>
      <c r="BV20" s="3">
        <v>538379.9</v>
      </c>
      <c r="BW20" s="34">
        <v>421065.01</v>
      </c>
      <c r="BX20" s="3">
        <f t="shared" si="22"/>
        <v>-117314.89000000001</v>
      </c>
      <c r="BY20" s="32">
        <f t="shared" si="23"/>
        <v>0.78209645270932293</v>
      </c>
      <c r="CA20" s="3">
        <f>1034020.29-5485.07</f>
        <v>1028535.2200000001</v>
      </c>
      <c r="CC20" s="3">
        <v>135820.35</v>
      </c>
      <c r="CD20" s="3">
        <f>1496994.84-175650.3</f>
        <v>1321344.54</v>
      </c>
      <c r="CE20" s="3">
        <f t="shared" si="24"/>
        <v>1185524.19</v>
      </c>
      <c r="CF20" s="32">
        <f t="shared" si="25"/>
        <v>9.7286197539617589</v>
      </c>
      <c r="CH20" s="3">
        <v>4218.03</v>
      </c>
      <c r="CJ20" s="3">
        <f t="shared" si="26"/>
        <v>4286709.99</v>
      </c>
      <c r="CK20" s="3">
        <f>+E20+L20+S20+Z20+AG20+AN20+AU20+BB20+BI20+BP20+BW20+CD20</f>
        <v>9813198.7399999984</v>
      </c>
      <c r="CL20" s="3">
        <f t="shared" si="27"/>
        <v>5526488.7499999981</v>
      </c>
      <c r="CM20" s="32">
        <f t="shared" si="28"/>
        <v>2.289214517168678</v>
      </c>
      <c r="CO20" s="3">
        <f t="shared" si="0"/>
        <v>12005188.67</v>
      </c>
      <c r="CQ20" s="3">
        <f t="shared" si="1"/>
        <v>4286709.99</v>
      </c>
      <c r="CR20" s="3">
        <f t="shared" si="1"/>
        <v>9813198.7399999984</v>
      </c>
      <c r="CS20" s="3">
        <f t="shared" si="29"/>
        <v>5526488.7499999981</v>
      </c>
      <c r="CT20" s="32">
        <f t="shared" si="30"/>
        <v>2.289214517168678</v>
      </c>
      <c r="CV20" s="3">
        <f t="shared" si="31"/>
        <v>12005188.669999998</v>
      </c>
      <c r="CX20" s="3">
        <f t="shared" si="32"/>
        <v>721866.55</v>
      </c>
      <c r="CY20" s="3">
        <f t="shared" si="33"/>
        <v>721866.55</v>
      </c>
      <c r="CZ20" s="3">
        <f t="shared" si="34"/>
        <v>830146.53249999997</v>
      </c>
      <c r="DA20" s="3">
        <f t="shared" si="35"/>
        <v>10643345.272499999</v>
      </c>
    </row>
    <row r="21" spans="1:105" s="26" customFormat="1" ht="16.5" customHeight="1" x14ac:dyDescent="0.3">
      <c r="A21" s="35"/>
      <c r="B21" s="36" t="s">
        <v>9</v>
      </c>
      <c r="D21" s="5">
        <f>SUM(D22)</f>
        <v>1543114.28</v>
      </c>
      <c r="E21" s="5">
        <f>SUM(E22)</f>
        <v>1949638.7799999998</v>
      </c>
      <c r="F21" s="5">
        <f t="shared" si="2"/>
        <v>406524.49999999977</v>
      </c>
      <c r="G21" s="37">
        <f t="shared" si="3"/>
        <v>1.2634441954616606</v>
      </c>
      <c r="I21" s="5">
        <f>SUM(I22)</f>
        <v>1978984.92</v>
      </c>
      <c r="K21" s="5">
        <f>SUM(K22)</f>
        <v>892019.08</v>
      </c>
      <c r="L21" s="5">
        <f>SUM(L22)</f>
        <v>1279887.06</v>
      </c>
      <c r="M21" s="5">
        <f t="shared" si="4"/>
        <v>387867.9800000001</v>
      </c>
      <c r="N21" s="37">
        <f t="shared" si="5"/>
        <v>1.4348202731268933</v>
      </c>
      <c r="P21" s="5">
        <f>SUM(P22)</f>
        <v>1152976.17</v>
      </c>
      <c r="R21" s="5">
        <f>SUM(R22)</f>
        <v>940132.9</v>
      </c>
      <c r="S21" s="5">
        <f>SUM(S22)</f>
        <v>836236.33</v>
      </c>
      <c r="T21" s="5">
        <f t="shared" si="6"/>
        <v>-103896.57000000007</v>
      </c>
      <c r="U21" s="37">
        <f t="shared" si="7"/>
        <v>0.88948735864897388</v>
      </c>
      <c r="W21" s="5">
        <f>SUM(W22)</f>
        <v>1217577.69</v>
      </c>
      <c r="Y21" s="5">
        <f>SUM(Y22)</f>
        <v>665151.66</v>
      </c>
      <c r="Z21" s="5">
        <f>SUM(Z22)</f>
        <v>2031087.19</v>
      </c>
      <c r="AA21" s="5">
        <f t="shared" si="8"/>
        <v>1365935.5299999998</v>
      </c>
      <c r="AB21" s="37">
        <f t="shared" si="9"/>
        <v>3.0535700534822388</v>
      </c>
      <c r="AD21" s="5">
        <f>SUM(AD22)</f>
        <v>906912.31000000029</v>
      </c>
      <c r="AF21" s="5">
        <f>SUM(AF22)</f>
        <v>680661.14</v>
      </c>
      <c r="AG21" s="5">
        <f>SUM(AG22)</f>
        <v>1526933.9699999997</v>
      </c>
      <c r="AH21" s="5">
        <f t="shared" si="10"/>
        <v>846272.82999999973</v>
      </c>
      <c r="AI21" s="37">
        <f t="shared" si="11"/>
        <v>2.2433100411755542</v>
      </c>
      <c r="AK21" s="5">
        <f>SUM(AK22)</f>
        <v>894027.61999999988</v>
      </c>
      <c r="AM21" s="5">
        <f>SUM(AM22)</f>
        <v>926183.99</v>
      </c>
      <c r="AN21" s="5">
        <f>SUM(AN22)</f>
        <v>2972864.36</v>
      </c>
      <c r="AO21" s="5">
        <f t="shared" si="12"/>
        <v>2046680.3699999999</v>
      </c>
      <c r="AP21" s="37">
        <f t="shared" si="13"/>
        <v>3.2097989083141027</v>
      </c>
      <c r="AR21" s="5">
        <f>SUM(AR22)</f>
        <v>1391044.52</v>
      </c>
      <c r="AT21" s="5">
        <f>SUM(AT22)</f>
        <v>1022515.76</v>
      </c>
      <c r="AU21" s="5">
        <f>SUM(AU22)</f>
        <v>1789763.87</v>
      </c>
      <c r="AV21" s="5">
        <f t="shared" si="14"/>
        <v>767248.1100000001</v>
      </c>
      <c r="AW21" s="37">
        <f t="shared" si="15"/>
        <v>1.7503533344072859</v>
      </c>
      <c r="AY21" s="5">
        <f>SUM(AY22)</f>
        <v>958027.85</v>
      </c>
      <c r="BA21" s="5">
        <f>SUM(BA22)</f>
        <v>924965.17</v>
      </c>
      <c r="BB21" s="5">
        <f>2919710.24-1519693.46</f>
        <v>1400016.7800000003</v>
      </c>
      <c r="BC21" s="5">
        <f t="shared" si="16"/>
        <v>475051.61000000022</v>
      </c>
      <c r="BD21" s="37">
        <f t="shared" si="17"/>
        <v>1.5135886468027766</v>
      </c>
      <c r="BF21" s="5">
        <f>SUM(BF22)</f>
        <v>1050906.76</v>
      </c>
      <c r="BH21" s="4">
        <f>SUM(BH22)</f>
        <v>866432.67</v>
      </c>
      <c r="BI21" s="5">
        <f>SUM(BI22)</f>
        <v>1512866.0300000003</v>
      </c>
      <c r="BJ21" s="5">
        <f t="shared" si="18"/>
        <v>646433.36000000022</v>
      </c>
      <c r="BK21" s="37">
        <f t="shared" si="19"/>
        <v>1.7460860865276471</v>
      </c>
      <c r="BM21" s="5">
        <f>SUM(BM22)</f>
        <v>873859.21</v>
      </c>
      <c r="BO21" s="4">
        <f>SUM(BO22)</f>
        <v>1545384.77</v>
      </c>
      <c r="BP21" s="5">
        <f>SUM(BP22)</f>
        <v>1314081.8500000001</v>
      </c>
      <c r="BQ21" s="5">
        <f t="shared" si="20"/>
        <v>-231302.91999999993</v>
      </c>
      <c r="BR21" s="37">
        <f t="shared" si="21"/>
        <v>0.85032664713008665</v>
      </c>
      <c r="BT21" s="5">
        <f>SUM(BT22)</f>
        <v>2803645.87</v>
      </c>
      <c r="BV21" s="4">
        <f>SUM(BV22)</f>
        <v>1520320.4</v>
      </c>
      <c r="BW21" s="5">
        <f>SUM(BW22)</f>
        <v>1634334.0099999998</v>
      </c>
      <c r="BX21" s="5">
        <f t="shared" si="22"/>
        <v>114013.60999999987</v>
      </c>
      <c r="BY21" s="37">
        <f t="shared" si="23"/>
        <v>1.0749931461815547</v>
      </c>
      <c r="CA21" s="5">
        <f>SUM(CA22)</f>
        <v>2361899.3800000008</v>
      </c>
      <c r="CC21" s="4">
        <f>SUM(CC22)</f>
        <v>1401373.18</v>
      </c>
      <c r="CD21" s="5">
        <f>SUM(CD22)</f>
        <v>1650244.5899999999</v>
      </c>
      <c r="CE21" s="5">
        <f t="shared" si="24"/>
        <v>248871.40999999992</v>
      </c>
      <c r="CF21" s="37">
        <f t="shared" si="25"/>
        <v>1.1775911038913989</v>
      </c>
      <c r="CH21" s="5">
        <f>SUM(CH22)</f>
        <v>2790874.3100000005</v>
      </c>
      <c r="CJ21" s="5">
        <f t="shared" si="26"/>
        <v>12928255</v>
      </c>
      <c r="CK21" s="5">
        <f>SUM(CK22)</f>
        <v>19897954.82</v>
      </c>
      <c r="CL21" s="5">
        <f t="shared" si="27"/>
        <v>6969699.8200000003</v>
      </c>
      <c r="CM21" s="37">
        <f t="shared" si="28"/>
        <v>1.5391059984506803</v>
      </c>
      <c r="CO21" s="4">
        <f t="shared" si="0"/>
        <v>18380736.609999999</v>
      </c>
      <c r="CQ21" s="5">
        <f t="shared" si="1"/>
        <v>12928255</v>
      </c>
      <c r="CR21" s="5">
        <f t="shared" si="1"/>
        <v>19897954.82</v>
      </c>
      <c r="CS21" s="5">
        <f t="shared" si="29"/>
        <v>6969699.8200000003</v>
      </c>
      <c r="CT21" s="37">
        <f t="shared" si="30"/>
        <v>1.5391059984506803</v>
      </c>
      <c r="CV21" s="5">
        <f t="shared" si="31"/>
        <v>18380736.610000003</v>
      </c>
      <c r="CX21" s="5">
        <f t="shared" si="32"/>
        <v>4467078.3499999996</v>
      </c>
      <c r="CY21" s="5">
        <f t="shared" si="33"/>
        <v>4467078.3499999996</v>
      </c>
      <c r="CZ21" s="5">
        <f t="shared" si="34"/>
        <v>5137140.1024999991</v>
      </c>
      <c r="DA21" s="5">
        <f t="shared" si="35"/>
        <v>25035094.922499999</v>
      </c>
    </row>
    <row r="22" spans="1:105" s="31" customFormat="1" ht="16.5" customHeight="1" x14ac:dyDescent="0.3">
      <c r="A22" s="29">
        <v>16</v>
      </c>
      <c r="B22" s="30" t="s">
        <v>10</v>
      </c>
      <c r="D22" s="3">
        <v>1543114.28</v>
      </c>
      <c r="E22" s="3">
        <f>6077000.34-4127361.56</f>
        <v>1949638.7799999998</v>
      </c>
      <c r="F22" s="3">
        <f t="shared" si="2"/>
        <v>406524.49999999977</v>
      </c>
      <c r="G22" s="32">
        <f t="shared" si="3"/>
        <v>1.2634441954616606</v>
      </c>
      <c r="I22" s="3">
        <v>1978984.92</v>
      </c>
      <c r="K22" s="33">
        <v>892019.08</v>
      </c>
      <c r="L22" s="3">
        <f>2853637.46-1573750.4</f>
        <v>1279887.06</v>
      </c>
      <c r="M22" s="3">
        <f t="shared" si="4"/>
        <v>387867.9800000001</v>
      </c>
      <c r="N22" s="32">
        <f t="shared" si="5"/>
        <v>1.4348202731268933</v>
      </c>
      <c r="P22" s="3">
        <v>1152976.17</v>
      </c>
      <c r="R22" s="3">
        <v>940132.9</v>
      </c>
      <c r="S22" s="3">
        <f>1768653.74-932417.41</f>
        <v>836236.33</v>
      </c>
      <c r="T22" s="3">
        <f t="shared" si="6"/>
        <v>-103896.57000000007</v>
      </c>
      <c r="U22" s="32">
        <f t="shared" si="7"/>
        <v>0.88948735864897388</v>
      </c>
      <c r="W22" s="3">
        <v>1217577.69</v>
      </c>
      <c r="Y22" s="3">
        <v>665151.66</v>
      </c>
      <c r="Z22" s="34">
        <f>5067761.09-3036673.9</f>
        <v>2031087.19</v>
      </c>
      <c r="AA22" s="3">
        <f t="shared" si="8"/>
        <v>1365935.5299999998</v>
      </c>
      <c r="AB22" s="32">
        <f t="shared" si="9"/>
        <v>3.0535700534822388</v>
      </c>
      <c r="AD22" s="3">
        <v>906912.31000000029</v>
      </c>
      <c r="AF22" s="3">
        <v>680661.14</v>
      </c>
      <c r="AG22" s="34">
        <f>3331541.28-1804607.31</f>
        <v>1526933.9699999997</v>
      </c>
      <c r="AH22" s="3">
        <f t="shared" si="10"/>
        <v>846272.82999999973</v>
      </c>
      <c r="AI22" s="32">
        <f t="shared" si="11"/>
        <v>2.2433100411755542</v>
      </c>
      <c r="AK22" s="3">
        <v>894027.61999999988</v>
      </c>
      <c r="AM22" s="3">
        <v>926183.99</v>
      </c>
      <c r="AN22" s="3">
        <f>6388440.22-3415575.86</f>
        <v>2972864.36</v>
      </c>
      <c r="AO22" s="3">
        <f t="shared" si="12"/>
        <v>2046680.3699999999</v>
      </c>
      <c r="AP22" s="32">
        <f t="shared" si="13"/>
        <v>3.2097989083141027</v>
      </c>
      <c r="AR22" s="3">
        <v>1391044.52</v>
      </c>
      <c r="AT22" s="3">
        <v>1022515.76</v>
      </c>
      <c r="AU22" s="3">
        <f>7273648.76-5483884.89</f>
        <v>1789763.87</v>
      </c>
      <c r="AV22" s="3">
        <f t="shared" si="14"/>
        <v>767248.1100000001</v>
      </c>
      <c r="AW22" s="32">
        <f t="shared" si="15"/>
        <v>1.7503533344072859</v>
      </c>
      <c r="AY22" s="3">
        <v>958027.85</v>
      </c>
      <c r="BA22" s="3">
        <v>924965.17</v>
      </c>
      <c r="BB22" s="9">
        <f>2919710.24-1519693.46</f>
        <v>1400016.7800000003</v>
      </c>
      <c r="BC22" s="3">
        <f t="shared" si="16"/>
        <v>475051.61000000022</v>
      </c>
      <c r="BD22" s="32">
        <f t="shared" si="17"/>
        <v>1.5135886468027766</v>
      </c>
      <c r="BF22" s="3">
        <v>1050906.76</v>
      </c>
      <c r="BH22" s="3">
        <v>866432.67</v>
      </c>
      <c r="BI22" s="9">
        <f>2907530.45-1394664.42</f>
        <v>1512866.0300000003</v>
      </c>
      <c r="BJ22" s="3">
        <f t="shared" si="18"/>
        <v>646433.36000000022</v>
      </c>
      <c r="BK22" s="32">
        <f t="shared" si="19"/>
        <v>1.7460860865276471</v>
      </c>
      <c r="BM22" s="3">
        <v>873859.21</v>
      </c>
      <c r="BO22" s="3">
        <v>1545384.77</v>
      </c>
      <c r="BP22" s="3">
        <f>4494416.13-3180334.28</f>
        <v>1314081.8500000001</v>
      </c>
      <c r="BQ22" s="3">
        <f t="shared" si="20"/>
        <v>-231302.91999999993</v>
      </c>
      <c r="BR22" s="32">
        <f t="shared" si="21"/>
        <v>0.85032664713008665</v>
      </c>
      <c r="BT22" s="3">
        <f>4393754.78-1590108.91</f>
        <v>2803645.87</v>
      </c>
      <c r="BV22" s="3">
        <v>1520320.4</v>
      </c>
      <c r="BW22" s="34">
        <f>6829619.08-5195285.07</f>
        <v>1634334.0099999998</v>
      </c>
      <c r="BX22" s="3">
        <f t="shared" si="22"/>
        <v>114013.60999999987</v>
      </c>
      <c r="BY22" s="32">
        <f t="shared" si="23"/>
        <v>1.0749931461815547</v>
      </c>
      <c r="CA22" s="3">
        <f>8819552.88
-6457653.5</f>
        <v>2361899.3800000008</v>
      </c>
      <c r="CC22" s="3">
        <v>1401373.18</v>
      </c>
      <c r="CD22" s="3">
        <f>7378499.52-5728254.93</f>
        <v>1650244.5899999999</v>
      </c>
      <c r="CE22" s="3">
        <f t="shared" si="24"/>
        <v>248871.40999999992</v>
      </c>
      <c r="CF22" s="32">
        <f t="shared" si="25"/>
        <v>1.1775911038913989</v>
      </c>
      <c r="CH22" s="3">
        <f>8506368.81-5715494.5</f>
        <v>2790874.3100000005</v>
      </c>
      <c r="CJ22" s="3">
        <f t="shared" si="26"/>
        <v>12928255</v>
      </c>
      <c r="CK22" s="3">
        <f>+E22+L22+S22+Z22+AG22+AN22+AU22+BB22+BI22+BP22+BW22+CD22</f>
        <v>19897954.82</v>
      </c>
      <c r="CL22" s="3">
        <f t="shared" si="27"/>
        <v>6969699.8200000003</v>
      </c>
      <c r="CM22" s="32">
        <f t="shared" si="28"/>
        <v>1.5391059984506803</v>
      </c>
      <c r="CO22" s="3">
        <f t="shared" si="0"/>
        <v>18380736.609999999</v>
      </c>
      <c r="CQ22" s="3">
        <f t="shared" si="1"/>
        <v>12928255</v>
      </c>
      <c r="CR22" s="3">
        <f t="shared" si="1"/>
        <v>19897954.82</v>
      </c>
      <c r="CS22" s="3">
        <f t="shared" si="29"/>
        <v>6969699.8200000003</v>
      </c>
      <c r="CT22" s="32">
        <f t="shared" si="30"/>
        <v>1.5391059984506803</v>
      </c>
      <c r="CV22" s="3">
        <f t="shared" si="31"/>
        <v>18380736.610000003</v>
      </c>
      <c r="CX22" s="3">
        <f t="shared" si="32"/>
        <v>4467078.3499999996</v>
      </c>
      <c r="CY22" s="3">
        <f t="shared" si="33"/>
        <v>4467078.3499999996</v>
      </c>
      <c r="CZ22" s="3">
        <f t="shared" si="34"/>
        <v>5137140.1024999991</v>
      </c>
      <c r="DA22" s="3">
        <f t="shared" si="35"/>
        <v>25035094.922499999</v>
      </c>
    </row>
    <row r="23" spans="1:105" s="26" customFormat="1" ht="16.5" customHeight="1" x14ac:dyDescent="0.3">
      <c r="A23" s="35"/>
      <c r="B23" s="36" t="s">
        <v>11</v>
      </c>
      <c r="D23" s="5">
        <f>SUM(D24)</f>
        <v>954618.26</v>
      </c>
      <c r="E23" s="5">
        <f>SUM(E24)</f>
        <v>193075.11000000002</v>
      </c>
      <c r="F23" s="5">
        <f t="shared" si="2"/>
        <v>-761543.15</v>
      </c>
      <c r="G23" s="37">
        <f t="shared" si="3"/>
        <v>0.2022537364831048</v>
      </c>
      <c r="I23" s="5">
        <f>SUM(I24)</f>
        <v>512086.8</v>
      </c>
      <c r="K23" s="5">
        <f>SUM(K24)</f>
        <v>308043.8</v>
      </c>
      <c r="L23" s="5">
        <f>SUM(L24)</f>
        <v>175381.96</v>
      </c>
      <c r="M23" s="5">
        <f t="shared" si="4"/>
        <v>-132661.84</v>
      </c>
      <c r="N23" s="37">
        <f t="shared" si="5"/>
        <v>0.56934098332769556</v>
      </c>
      <c r="P23" s="5">
        <f>SUM(P24)</f>
        <v>296238.61</v>
      </c>
      <c r="R23" s="5">
        <v>307287.07</v>
      </c>
      <c r="S23" s="5">
        <f>SUM(S24)</f>
        <v>94049.77</v>
      </c>
      <c r="T23" s="5">
        <f t="shared" si="6"/>
        <v>-213237.3</v>
      </c>
      <c r="U23" s="37">
        <f t="shared" si="7"/>
        <v>0.30606484678968104</v>
      </c>
      <c r="W23" s="5">
        <f>SUM(W24)</f>
        <v>536028.37</v>
      </c>
      <c r="Y23" s="5">
        <v>169352.07</v>
      </c>
      <c r="Z23" s="5">
        <f>SUM(Z24)</f>
        <v>339725.47</v>
      </c>
      <c r="AA23" s="5">
        <f t="shared" si="8"/>
        <v>170373.39999999997</v>
      </c>
      <c r="AB23" s="37">
        <f t="shared" si="9"/>
        <v>2.0060308090713033</v>
      </c>
      <c r="AD23" s="5">
        <f>SUM(AD24)</f>
        <v>132522.90000000002</v>
      </c>
      <c r="AF23" s="5">
        <v>199827.74</v>
      </c>
      <c r="AG23" s="5">
        <f>SUM(AG24)</f>
        <v>201401.84</v>
      </c>
      <c r="AH23" s="5">
        <f t="shared" si="10"/>
        <v>1574.1000000000058</v>
      </c>
      <c r="AI23" s="37">
        <f t="shared" si="11"/>
        <v>1.0078772847053168</v>
      </c>
      <c r="AK23" s="5">
        <f>SUM(AK24)</f>
        <v>216533.96</v>
      </c>
      <c r="AM23" s="5">
        <v>268289.95</v>
      </c>
      <c r="AN23" s="5">
        <f>SUM(AN24)</f>
        <v>447754.01</v>
      </c>
      <c r="AO23" s="5">
        <f t="shared" si="12"/>
        <v>179464.06</v>
      </c>
      <c r="AP23" s="37">
        <f t="shared" si="13"/>
        <v>1.6689183102087872</v>
      </c>
      <c r="AR23" s="5">
        <f>SUM(AR24)</f>
        <v>485163.41</v>
      </c>
      <c r="AT23" s="2">
        <v>272309.40000000002</v>
      </c>
      <c r="AU23" s="5">
        <f>SUM(AU24)</f>
        <v>498949.1</v>
      </c>
      <c r="AV23" s="5">
        <f t="shared" si="14"/>
        <v>226639.69999999995</v>
      </c>
      <c r="AW23" s="37">
        <f t="shared" si="15"/>
        <v>1.8322874641859588</v>
      </c>
      <c r="AY23" s="5">
        <f>SUM(AY24)</f>
        <v>219510.94</v>
      </c>
      <c r="BA23" s="5">
        <f>SUM(BA24)</f>
        <v>197185.13</v>
      </c>
      <c r="BB23" s="5">
        <f>SUM(BB24)</f>
        <v>168805.11</v>
      </c>
      <c r="BC23" s="5">
        <f t="shared" si="16"/>
        <v>-28380.020000000019</v>
      </c>
      <c r="BD23" s="37">
        <f t="shared" si="17"/>
        <v>0.85607423845804187</v>
      </c>
      <c r="BF23" s="5">
        <f>SUM(BF24)</f>
        <v>261945.24</v>
      </c>
      <c r="BH23" s="4">
        <f>SUM(BH24)</f>
        <v>155996.46</v>
      </c>
      <c r="BI23" s="5">
        <f>SUM(BI24)</f>
        <v>155714.82999999999</v>
      </c>
      <c r="BJ23" s="5">
        <f t="shared" si="18"/>
        <v>-281.63000000000466</v>
      </c>
      <c r="BK23" s="37">
        <f t="shared" si="19"/>
        <v>0.99819463851936119</v>
      </c>
      <c r="BM23" s="5">
        <f>SUM(BM24)</f>
        <v>162619.22</v>
      </c>
      <c r="BO23" s="4">
        <f>SUM(BO24)</f>
        <v>228825.72</v>
      </c>
      <c r="BP23" s="5">
        <f>SUM(BP24)</f>
        <v>201967.45</v>
      </c>
      <c r="BQ23" s="5">
        <f t="shared" si="20"/>
        <v>-26858.26999999999</v>
      </c>
      <c r="BR23" s="37">
        <f t="shared" si="21"/>
        <v>0.8826256506480129</v>
      </c>
      <c r="BT23" s="5">
        <f>SUM(BT24)</f>
        <v>424230.77</v>
      </c>
      <c r="BV23" s="4">
        <f>SUM(BV24)</f>
        <v>332127.61</v>
      </c>
      <c r="BW23" s="5">
        <f>SUM(BW24)</f>
        <v>356675.67000000004</v>
      </c>
      <c r="BX23" s="5">
        <f t="shared" si="22"/>
        <v>24548.060000000056</v>
      </c>
      <c r="BY23" s="37">
        <f t="shared" si="23"/>
        <v>1.0739115305710358</v>
      </c>
      <c r="CA23" s="5">
        <f>SUM(CA24)</f>
        <v>632905.37000000011</v>
      </c>
      <c r="CC23" s="4">
        <f>SUM(CC24)</f>
        <v>224534.77</v>
      </c>
      <c r="CD23" s="4">
        <f>SUM(CD24)</f>
        <v>286082.65999999997</v>
      </c>
      <c r="CE23" s="5">
        <f t="shared" si="24"/>
        <v>61547.889999999985</v>
      </c>
      <c r="CF23" s="37">
        <f t="shared" si="25"/>
        <v>1.2741129580955324</v>
      </c>
      <c r="CH23" s="5">
        <f>SUM(CH24)</f>
        <v>556138.94999999995</v>
      </c>
      <c r="CJ23" s="5">
        <f t="shared" si="26"/>
        <v>3618397.98</v>
      </c>
      <c r="CK23" s="5">
        <f>SUM(CK24)</f>
        <v>3119582.9800000004</v>
      </c>
      <c r="CL23" s="5">
        <f t="shared" si="27"/>
        <v>-498814.99999999953</v>
      </c>
      <c r="CM23" s="37">
        <f t="shared" si="28"/>
        <v>0.86214479370232255</v>
      </c>
      <c r="CO23" s="4">
        <f t="shared" si="0"/>
        <v>4435924.54</v>
      </c>
      <c r="CQ23" s="5">
        <f t="shared" si="1"/>
        <v>3618397.98</v>
      </c>
      <c r="CR23" s="5">
        <f t="shared" si="1"/>
        <v>3119582.9800000004</v>
      </c>
      <c r="CS23" s="5">
        <f t="shared" si="29"/>
        <v>-498814.99999999953</v>
      </c>
      <c r="CT23" s="37">
        <f t="shared" si="30"/>
        <v>0.86214479370232255</v>
      </c>
      <c r="CV23" s="5">
        <f t="shared" si="31"/>
        <v>4435924.54</v>
      </c>
      <c r="CX23" s="5">
        <f t="shared" si="32"/>
        <v>785488.1</v>
      </c>
      <c r="CY23" s="5">
        <f t="shared" si="33"/>
        <v>785488.1</v>
      </c>
      <c r="CZ23" s="5">
        <f t="shared" si="34"/>
        <v>903311.31499999994</v>
      </c>
      <c r="DA23" s="5">
        <f t="shared" si="35"/>
        <v>4022894.2950000004</v>
      </c>
    </row>
    <row r="24" spans="1:105" s="31" customFormat="1" ht="16.5" customHeight="1" x14ac:dyDescent="0.3">
      <c r="A24" s="29">
        <v>17</v>
      </c>
      <c r="B24" s="30" t="s">
        <v>12</v>
      </c>
      <c r="D24" s="3">
        <v>954618.26</v>
      </c>
      <c r="E24" s="3">
        <f>196924.26-3849.15</f>
        <v>193075.11000000002</v>
      </c>
      <c r="F24" s="3">
        <f t="shared" si="2"/>
        <v>-761543.15</v>
      </c>
      <c r="G24" s="32">
        <f t="shared" si="3"/>
        <v>0.2022537364831048</v>
      </c>
      <c r="I24" s="3">
        <v>512086.8</v>
      </c>
      <c r="K24" s="33">
        <v>308043.8</v>
      </c>
      <c r="L24" s="3">
        <f>182937.8-7555.84</f>
        <v>175381.96</v>
      </c>
      <c r="M24" s="3">
        <f t="shared" si="4"/>
        <v>-132661.84</v>
      </c>
      <c r="N24" s="32">
        <f t="shared" si="5"/>
        <v>0.56934098332769556</v>
      </c>
      <c r="P24" s="3">
        <v>296238.61</v>
      </c>
      <c r="R24" s="3">
        <v>307287.07</v>
      </c>
      <c r="S24" s="3">
        <v>94049.77</v>
      </c>
      <c r="T24" s="3">
        <f t="shared" si="6"/>
        <v>-213237.3</v>
      </c>
      <c r="U24" s="32">
        <f t="shared" si="7"/>
        <v>0.30606484678968104</v>
      </c>
      <c r="W24" s="3">
        <v>536028.37</v>
      </c>
      <c r="Y24" s="3">
        <v>169352.07</v>
      </c>
      <c r="Z24" s="34">
        <v>339725.47</v>
      </c>
      <c r="AA24" s="3">
        <f t="shared" si="8"/>
        <v>170373.39999999997</v>
      </c>
      <c r="AB24" s="32">
        <f t="shared" si="9"/>
        <v>2.0060308090713033</v>
      </c>
      <c r="AD24" s="3">
        <v>132522.90000000002</v>
      </c>
      <c r="AF24" s="3">
        <v>199827.74</v>
      </c>
      <c r="AG24" s="34">
        <f>202898.34-1496.5</f>
        <v>201401.84</v>
      </c>
      <c r="AH24" s="3">
        <f t="shared" si="10"/>
        <v>1574.1000000000058</v>
      </c>
      <c r="AI24" s="32">
        <f t="shared" si="11"/>
        <v>1.0078772847053168</v>
      </c>
      <c r="AK24" s="3">
        <v>216533.96</v>
      </c>
      <c r="AM24" s="3">
        <v>268289.95</v>
      </c>
      <c r="AN24" s="3">
        <f>448389-634.99</f>
        <v>447754.01</v>
      </c>
      <c r="AO24" s="3">
        <f t="shared" si="12"/>
        <v>179464.06</v>
      </c>
      <c r="AP24" s="32">
        <f t="shared" si="13"/>
        <v>1.6689183102087872</v>
      </c>
      <c r="AR24" s="3">
        <v>485163.41</v>
      </c>
      <c r="AT24" s="3">
        <v>272309.40000000002</v>
      </c>
      <c r="AU24" s="3">
        <f>507258.48-8309.38</f>
        <v>498949.1</v>
      </c>
      <c r="AV24" s="3">
        <f t="shared" si="14"/>
        <v>226639.69999999995</v>
      </c>
      <c r="AW24" s="32">
        <f t="shared" si="15"/>
        <v>1.8322874641859588</v>
      </c>
      <c r="AY24" s="3">
        <v>219510.94</v>
      </c>
      <c r="BA24" s="3">
        <v>197185.13</v>
      </c>
      <c r="BB24" s="3">
        <f>169459.3-654.19</f>
        <v>168805.11</v>
      </c>
      <c r="BC24" s="3">
        <f t="shared" si="16"/>
        <v>-28380.020000000019</v>
      </c>
      <c r="BD24" s="32">
        <f t="shared" si="17"/>
        <v>0.85607423845804187</v>
      </c>
      <c r="BF24" s="3">
        <v>261945.24</v>
      </c>
      <c r="BH24" s="3">
        <v>155996.46</v>
      </c>
      <c r="BI24" s="3">
        <v>155714.82999999999</v>
      </c>
      <c r="BJ24" s="3">
        <f t="shared" si="18"/>
        <v>-281.63000000000466</v>
      </c>
      <c r="BK24" s="32">
        <f t="shared" si="19"/>
        <v>0.99819463851936119</v>
      </c>
      <c r="BM24" s="3">
        <v>162619.22</v>
      </c>
      <c r="BO24" s="3">
        <v>228825.72</v>
      </c>
      <c r="BP24" s="3">
        <f>204109.79-2142.34</f>
        <v>201967.45</v>
      </c>
      <c r="BQ24" s="3">
        <f t="shared" si="20"/>
        <v>-26858.26999999999</v>
      </c>
      <c r="BR24" s="32">
        <f t="shared" si="21"/>
        <v>0.8826256506480129</v>
      </c>
      <c r="BT24" s="3">
        <f>425154.63-923.86</f>
        <v>424230.77</v>
      </c>
      <c r="BV24" s="3">
        <v>332127.61</v>
      </c>
      <c r="BW24" s="34">
        <f>356689.28-13.61</f>
        <v>356675.67000000004</v>
      </c>
      <c r="BX24" s="3">
        <f t="shared" si="22"/>
        <v>24548.060000000056</v>
      </c>
      <c r="BY24" s="32">
        <f t="shared" si="23"/>
        <v>1.0739115305710358</v>
      </c>
      <c r="CA24" s="3">
        <f>633124.56-219.19</f>
        <v>632905.37000000011</v>
      </c>
      <c r="CC24" s="3">
        <v>224534.77</v>
      </c>
      <c r="CD24" s="3">
        <f>287505.16-1422.5</f>
        <v>286082.65999999997</v>
      </c>
      <c r="CE24" s="3">
        <f t="shared" si="24"/>
        <v>61547.889999999985</v>
      </c>
      <c r="CF24" s="32">
        <f t="shared" si="25"/>
        <v>1.2741129580955324</v>
      </c>
      <c r="CH24" s="3">
        <f>557512.12-1373.17</f>
        <v>556138.94999999995</v>
      </c>
      <c r="CJ24" s="3">
        <f t="shared" si="26"/>
        <v>3618397.98</v>
      </c>
      <c r="CK24" s="3">
        <f>+E24+L24+S24+Z24+AG24+AN24+AU24+BB24+BI24+BP24+BW24+CD24</f>
        <v>3119582.9800000004</v>
      </c>
      <c r="CL24" s="3">
        <f t="shared" si="27"/>
        <v>-498814.99999999953</v>
      </c>
      <c r="CM24" s="32">
        <f t="shared" si="28"/>
        <v>0.86214479370232255</v>
      </c>
      <c r="CO24" s="3">
        <f>+I24+P24+W24+AD24+AK24+AR24</f>
        <v>2178574.0499999998</v>
      </c>
      <c r="CQ24" s="3">
        <f t="shared" si="1"/>
        <v>3618397.98</v>
      </c>
      <c r="CR24" s="3">
        <f t="shared" si="1"/>
        <v>3119582.9800000004</v>
      </c>
      <c r="CS24" s="3">
        <f t="shared" si="29"/>
        <v>-498814.99999999953</v>
      </c>
      <c r="CT24" s="32">
        <f t="shared" si="30"/>
        <v>0.86214479370232255</v>
      </c>
      <c r="CV24" s="3">
        <f t="shared" si="31"/>
        <v>4435924.54</v>
      </c>
      <c r="CX24" s="3">
        <f t="shared" si="32"/>
        <v>785488.1</v>
      </c>
      <c r="CY24" s="3">
        <f t="shared" si="33"/>
        <v>785488.1</v>
      </c>
      <c r="CZ24" s="3">
        <f t="shared" si="34"/>
        <v>903311.31499999994</v>
      </c>
      <c r="DA24" s="3">
        <f t="shared" si="35"/>
        <v>4022894.2950000004</v>
      </c>
    </row>
    <row r="25" spans="1:105" s="26" customFormat="1" ht="16.5" customHeight="1" x14ac:dyDescent="0.3">
      <c r="A25" s="35"/>
      <c r="B25" s="36" t="s">
        <v>13</v>
      </c>
      <c r="D25" s="4">
        <f>SUM(D26:D28)</f>
        <v>2984139.69</v>
      </c>
      <c r="E25" s="4">
        <f>SUM(E26:E28)</f>
        <v>16333634.540000001</v>
      </c>
      <c r="F25" s="5">
        <f t="shared" si="2"/>
        <v>13349494.850000001</v>
      </c>
      <c r="G25" s="37">
        <f t="shared" si="3"/>
        <v>5.4734818864997576</v>
      </c>
      <c r="I25" s="5">
        <f>SUM(I26:I28)</f>
        <v>9575642.5999999996</v>
      </c>
      <c r="K25" s="4">
        <f>SUM(K26:K28)</f>
        <v>1191496.07</v>
      </c>
      <c r="L25" s="4">
        <f>SUM(L26:L28)</f>
        <v>6940611.0300000003</v>
      </c>
      <c r="M25" s="5">
        <f t="shared" si="4"/>
        <v>5749114.96</v>
      </c>
      <c r="N25" s="37">
        <f t="shared" si="5"/>
        <v>5.8251228894107889</v>
      </c>
      <c r="P25" s="5">
        <f>SUM(P26:P28)</f>
        <v>3960082.0500000003</v>
      </c>
      <c r="R25" s="4">
        <f>SUM(R26:R28)</f>
        <v>1269968.3700000001</v>
      </c>
      <c r="S25" s="4">
        <f>SUM(S26:S28)</f>
        <v>2237068.5699999998</v>
      </c>
      <c r="T25" s="5">
        <f t="shared" si="6"/>
        <v>967100.19999999972</v>
      </c>
      <c r="U25" s="37">
        <f t="shared" si="7"/>
        <v>1.7615151863979097</v>
      </c>
      <c r="W25" s="5">
        <f>SUM(W26:W28)</f>
        <v>4105614.88</v>
      </c>
      <c r="Y25" s="4">
        <f>SUM(Y26:Y28)</f>
        <v>1312085.55</v>
      </c>
      <c r="Z25" s="4">
        <f>SUM(Z26:Z28)</f>
        <v>8824602.9000000004</v>
      </c>
      <c r="AA25" s="5">
        <f t="shared" si="8"/>
        <v>7512517.3500000006</v>
      </c>
      <c r="AB25" s="37">
        <f t="shared" si="9"/>
        <v>6.7256307334533183</v>
      </c>
      <c r="AD25" s="5">
        <f>SUM(AD26:AD28)</f>
        <v>1780955.9900000002</v>
      </c>
      <c r="AF25" s="4">
        <f>SUM(AF26:AF28)</f>
        <v>1175297.48</v>
      </c>
      <c r="AG25" s="4">
        <f>SUM(AG26:AG28)</f>
        <v>3987745.7399999998</v>
      </c>
      <c r="AH25" s="5">
        <f t="shared" si="10"/>
        <v>2812448.26</v>
      </c>
      <c r="AI25" s="37">
        <f t="shared" si="11"/>
        <v>3.3929671490489368</v>
      </c>
      <c r="AK25" s="5">
        <f>SUM(AK26:AK28)</f>
        <v>1108441.6600000001</v>
      </c>
      <c r="AM25" s="4">
        <f>SUM(AM26:AM28)</f>
        <v>1151899.52</v>
      </c>
      <c r="AN25" s="4">
        <f>SUM(AN26:AN28)</f>
        <v>6454333.3000000007</v>
      </c>
      <c r="AO25" s="5">
        <f t="shared" si="12"/>
        <v>5302433.7800000012</v>
      </c>
      <c r="AP25" s="37">
        <f t="shared" si="13"/>
        <v>5.6032086027781318</v>
      </c>
      <c r="AR25" s="5">
        <f>SUM(AR26:AR28)</f>
        <v>3256418.2199999997</v>
      </c>
      <c r="AT25" s="4">
        <f>SUM(AT26:AT28)</f>
        <v>1423758.75</v>
      </c>
      <c r="AU25" s="4">
        <f>SUM(AU26:AU28)</f>
        <v>4295346.3999999994</v>
      </c>
      <c r="AV25" s="5">
        <f t="shared" si="14"/>
        <v>2871587.6499999994</v>
      </c>
      <c r="AW25" s="37">
        <f t="shared" si="15"/>
        <v>3.0169060594008639</v>
      </c>
      <c r="AY25" s="5">
        <f>SUM(AY26:AY28)</f>
        <v>1484621.58</v>
      </c>
      <c r="BA25" s="5">
        <f>SUM(BA26:BA28)</f>
        <v>1375080.05</v>
      </c>
      <c r="BB25" s="4">
        <f>SUM(BB26:BB28)</f>
        <v>2222471</v>
      </c>
      <c r="BC25" s="5">
        <f t="shared" si="16"/>
        <v>847390.95</v>
      </c>
      <c r="BD25" s="37">
        <f t="shared" si="17"/>
        <v>1.6162484504083963</v>
      </c>
      <c r="BF25" s="5">
        <f>SUM(BF26:BF28)</f>
        <v>2039441.7999999998</v>
      </c>
      <c r="BH25" s="4">
        <f>SUM(BH26:BH28)</f>
        <v>1151899.52</v>
      </c>
      <c r="BI25" s="4">
        <f>SUM(BI26:BI28)</f>
        <v>1539512.3499999999</v>
      </c>
      <c r="BJ25" s="5">
        <f t="shared" si="18"/>
        <v>387612.82999999984</v>
      </c>
      <c r="BK25" s="37">
        <f t="shared" si="19"/>
        <v>1.3364988206610242</v>
      </c>
      <c r="BM25" s="5">
        <f>SUM(BM26:BM28)</f>
        <v>823643.24</v>
      </c>
      <c r="BO25" s="4">
        <f>SUM(BO26:BO28)</f>
        <v>1042109.1</v>
      </c>
      <c r="BP25" s="4">
        <f>SUM(BP26:BP28)</f>
        <v>2890200.3600000003</v>
      </c>
      <c r="BQ25" s="5">
        <f t="shared" si="20"/>
        <v>1848091.2600000002</v>
      </c>
      <c r="BR25" s="37">
        <f t="shared" si="21"/>
        <v>2.7734143766713104</v>
      </c>
      <c r="BT25" s="5">
        <f>SUM(BT26:BT28)</f>
        <v>2504450.7800000003</v>
      </c>
      <c r="BV25" s="4">
        <f>SUM(BV26:BV28)</f>
        <v>2167119.2799999998</v>
      </c>
      <c r="BW25" s="4">
        <f>SUM(BW26:BW28)</f>
        <v>4246678.42</v>
      </c>
      <c r="BX25" s="5">
        <f t="shared" si="22"/>
        <v>2079559.1400000001</v>
      </c>
      <c r="BY25" s="37">
        <f t="shared" si="23"/>
        <v>1.9595960680115403</v>
      </c>
      <c r="CA25" s="5">
        <f>SUM(CA26:CA28)</f>
        <v>4147630.61</v>
      </c>
      <c r="CC25" s="4">
        <f>SUM(CC26:CC28)</f>
        <v>1753576.61</v>
      </c>
      <c r="CD25" s="4">
        <f>SUM(CD26:CD28)</f>
        <v>3285208.31</v>
      </c>
      <c r="CE25" s="5">
        <f t="shared" si="24"/>
        <v>1531631.7</v>
      </c>
      <c r="CF25" s="37">
        <f t="shared" si="25"/>
        <v>1.8734330118602573</v>
      </c>
      <c r="CH25" s="5">
        <f>SUM(CH26:CH28)</f>
        <v>3836300.3400000008</v>
      </c>
      <c r="CJ25" s="5">
        <f t="shared" si="26"/>
        <v>17998429.989999998</v>
      </c>
      <c r="CK25" s="4">
        <f>SUM(CK26:CK28)</f>
        <v>63257412.919999994</v>
      </c>
      <c r="CL25" s="5">
        <f t="shared" si="27"/>
        <v>45258982.929999992</v>
      </c>
      <c r="CM25" s="37">
        <f t="shared" si="28"/>
        <v>3.5146072715868035</v>
      </c>
      <c r="CO25" s="4">
        <f t="shared" ref="CO25:CO31" si="36">CH25+CA25+BT25+BM25+BF25+AY25+AR25+AK25+AD25+W25+P25+I25</f>
        <v>38623243.75</v>
      </c>
      <c r="CQ25" s="5">
        <f t="shared" si="1"/>
        <v>17998429.989999998</v>
      </c>
      <c r="CR25" s="5">
        <f t="shared" si="1"/>
        <v>63257412.920000002</v>
      </c>
      <c r="CS25" s="5">
        <f t="shared" si="29"/>
        <v>45258982.930000007</v>
      </c>
      <c r="CT25" s="37">
        <f t="shared" si="30"/>
        <v>3.514607271586804</v>
      </c>
      <c r="CV25" s="5">
        <f t="shared" si="31"/>
        <v>38623243.750000007</v>
      </c>
      <c r="CX25" s="5">
        <f t="shared" si="32"/>
        <v>4962804.99</v>
      </c>
      <c r="CY25" s="5">
        <f t="shared" si="33"/>
        <v>4962804.99</v>
      </c>
      <c r="CZ25" s="5">
        <f t="shared" si="34"/>
        <v>5707225.7385</v>
      </c>
      <c r="DA25" s="5">
        <f t="shared" si="35"/>
        <v>68964638.658500001</v>
      </c>
    </row>
    <row r="26" spans="1:105" s="31" customFormat="1" ht="16.5" customHeight="1" x14ac:dyDescent="0.3">
      <c r="A26" s="29">
        <v>18</v>
      </c>
      <c r="B26" s="30" t="s">
        <v>6</v>
      </c>
      <c r="D26" s="3">
        <v>2984139.69</v>
      </c>
      <c r="E26" s="3">
        <f>6337000.08-898404.73</f>
        <v>5438595.3499999996</v>
      </c>
      <c r="F26" s="3">
        <f t="shared" si="2"/>
        <v>2454455.6599999997</v>
      </c>
      <c r="G26" s="32">
        <f t="shared" si="3"/>
        <v>1.8225002563469137</v>
      </c>
      <c r="I26" s="3">
        <v>6091796.4299999997</v>
      </c>
      <c r="K26" s="33">
        <v>1191496.07</v>
      </c>
      <c r="L26" s="3">
        <f>2065908.47-235269.09</f>
        <v>1830639.38</v>
      </c>
      <c r="M26" s="3">
        <f t="shared" si="4"/>
        <v>639143.30999999982</v>
      </c>
      <c r="N26" s="32">
        <f t="shared" si="5"/>
        <v>1.536420829319227</v>
      </c>
      <c r="P26" s="3">
        <v>1817237.81</v>
      </c>
      <c r="R26" s="3">
        <v>1269968.3700000001</v>
      </c>
      <c r="S26" s="3">
        <f>5379569.76-4075162.26</f>
        <v>1304407.5</v>
      </c>
      <c r="T26" s="3">
        <f t="shared" si="6"/>
        <v>34439.129999999888</v>
      </c>
      <c r="U26" s="32">
        <f t="shared" si="7"/>
        <v>1.0271181005870247</v>
      </c>
      <c r="W26" s="3">
        <v>2222177.7800000003</v>
      </c>
      <c r="Y26" s="3">
        <v>1312085.55</v>
      </c>
      <c r="Z26" s="34">
        <f>3692306.81-1347114.56</f>
        <v>2345192.25</v>
      </c>
      <c r="AA26" s="3">
        <f t="shared" si="8"/>
        <v>1033106.7</v>
      </c>
      <c r="AB26" s="32">
        <f t="shared" si="9"/>
        <v>1.7873775456181191</v>
      </c>
      <c r="AD26" s="3">
        <v>1180487.6600000001</v>
      </c>
      <c r="AF26" s="3">
        <v>1175297.48</v>
      </c>
      <c r="AG26" s="34">
        <f>1641217.72-202495.72</f>
        <v>1438722</v>
      </c>
      <c r="AH26" s="3">
        <f t="shared" si="10"/>
        <v>263424.52</v>
      </c>
      <c r="AI26" s="32">
        <f t="shared" si="11"/>
        <v>1.2241343357598282</v>
      </c>
      <c r="AK26" s="3">
        <v>932395.96</v>
      </c>
      <c r="AM26" s="3">
        <v>1151899.52</v>
      </c>
      <c r="AN26" s="3">
        <f>2309078.12-217819.21</f>
        <v>2091258.9100000001</v>
      </c>
      <c r="AO26" s="3">
        <f t="shared" si="12"/>
        <v>939359.39000000013</v>
      </c>
      <c r="AP26" s="32">
        <f t="shared" si="13"/>
        <v>1.8154872657642918</v>
      </c>
      <c r="AR26" s="3">
        <v>1423313.0799999998</v>
      </c>
      <c r="AT26" s="3">
        <v>1423758.75</v>
      </c>
      <c r="AU26" s="3">
        <f>3990542.35-96462.05</f>
        <v>3894080.3000000003</v>
      </c>
      <c r="AV26" s="3">
        <f t="shared" si="14"/>
        <v>2470321.5500000003</v>
      </c>
      <c r="AW26" s="32">
        <f t="shared" si="15"/>
        <v>2.7350703200243722</v>
      </c>
      <c r="AY26" s="3">
        <v>1173318.17</v>
      </c>
      <c r="BA26" s="3">
        <v>1375080.05</v>
      </c>
      <c r="BB26" s="3">
        <f>1327760.01-105568.67</f>
        <v>1222191.3400000001</v>
      </c>
      <c r="BC26" s="3">
        <f t="shared" si="16"/>
        <v>-152888.70999999996</v>
      </c>
      <c r="BD26" s="32">
        <f t="shared" si="17"/>
        <v>0.88881468391603824</v>
      </c>
      <c r="BF26" s="3">
        <v>1884561.23</v>
      </c>
      <c r="BH26" s="3">
        <v>1151899.52</v>
      </c>
      <c r="BI26" s="3">
        <f>1276748.36-262679.13</f>
        <v>1014069.2300000001</v>
      </c>
      <c r="BJ26" s="3">
        <f t="shared" si="18"/>
        <v>-137830.28999999992</v>
      </c>
      <c r="BK26" s="32">
        <f t="shared" si="19"/>
        <v>0.88034521448537462</v>
      </c>
      <c r="BM26" s="3">
        <v>694434.4</v>
      </c>
      <c r="BO26" s="3">
        <v>1042109.1</v>
      </c>
      <c r="BP26" s="3">
        <f>924610.35-65580.6</f>
        <v>859029.75</v>
      </c>
      <c r="BQ26" s="3">
        <f t="shared" si="20"/>
        <v>-183079.34999999998</v>
      </c>
      <c r="BR26" s="32">
        <f t="shared" si="21"/>
        <v>0.82431844228209894</v>
      </c>
      <c r="BT26" s="3">
        <f>1448994.29-234526.16</f>
        <v>1214468.1300000001</v>
      </c>
      <c r="BV26" s="3">
        <v>2167119.2799999998</v>
      </c>
      <c r="BW26" s="34">
        <f>2886912.16-460612.84</f>
        <v>2426299.3200000003</v>
      </c>
      <c r="BX26" s="3">
        <f t="shared" si="22"/>
        <v>259180.0400000005</v>
      </c>
      <c r="BY26" s="32">
        <f t="shared" si="23"/>
        <v>1.1195965733828923</v>
      </c>
      <c r="CA26" s="3">
        <f>4434135.6-912995.02</f>
        <v>3521140.5799999996</v>
      </c>
      <c r="CC26" s="3">
        <v>1753576.61</v>
      </c>
      <c r="CD26" s="3">
        <f>2538258.13-302452.35</f>
        <v>2235805.7799999998</v>
      </c>
      <c r="CE26" s="3">
        <f t="shared" si="24"/>
        <v>482229.16999999969</v>
      </c>
      <c r="CF26" s="32">
        <f t="shared" si="25"/>
        <v>1.2749974921255363</v>
      </c>
      <c r="CH26" s="3">
        <f>3518205.22-95723.57</f>
        <v>3422481.6500000004</v>
      </c>
      <c r="CJ26" s="3">
        <f t="shared" si="26"/>
        <v>17998429.989999998</v>
      </c>
      <c r="CK26" s="3">
        <f>+E26+L26+S26+Z26+AG26+AN26+AU26+BB26+BI26+BP26+BW26+CD26</f>
        <v>26100291.110000003</v>
      </c>
      <c r="CL26" s="3">
        <f t="shared" si="27"/>
        <v>8101861.1200000048</v>
      </c>
      <c r="CM26" s="32">
        <f t="shared" si="28"/>
        <v>1.4501426582486046</v>
      </c>
      <c r="CO26" s="3">
        <f t="shared" si="36"/>
        <v>25577812.879999999</v>
      </c>
      <c r="CQ26" s="3">
        <f t="shared" si="1"/>
        <v>17998429.989999998</v>
      </c>
      <c r="CR26" s="3">
        <f t="shared" si="1"/>
        <v>26100291.110000003</v>
      </c>
      <c r="CS26" s="3">
        <f t="shared" si="29"/>
        <v>8101861.1200000048</v>
      </c>
      <c r="CT26" s="32">
        <f t="shared" si="30"/>
        <v>1.4501426582486046</v>
      </c>
      <c r="CV26" s="3">
        <f t="shared" si="31"/>
        <v>25577812.879999995</v>
      </c>
      <c r="CX26" s="3">
        <f t="shared" si="32"/>
        <v>4962804.99</v>
      </c>
      <c r="CY26" s="3">
        <f t="shared" si="33"/>
        <v>4962804.99</v>
      </c>
      <c r="CZ26" s="3">
        <f t="shared" si="34"/>
        <v>5707225.7385</v>
      </c>
      <c r="DA26" s="3">
        <f t="shared" si="35"/>
        <v>31807516.848500002</v>
      </c>
    </row>
    <row r="27" spans="1:105" s="31" customFormat="1" ht="16.5" customHeight="1" x14ac:dyDescent="0.3">
      <c r="A27" s="29"/>
      <c r="B27" s="30" t="s">
        <v>7</v>
      </c>
      <c r="D27" s="3">
        <v>0</v>
      </c>
      <c r="E27" s="3">
        <f>9846286.65-73.04</f>
        <v>9846213.6100000013</v>
      </c>
      <c r="F27" s="3">
        <f t="shared" si="2"/>
        <v>9846213.6100000013</v>
      </c>
      <c r="G27" s="32">
        <f t="shared" si="3"/>
        <v>0</v>
      </c>
      <c r="I27" s="3">
        <v>3407155.17</v>
      </c>
      <c r="K27" s="33">
        <v>0</v>
      </c>
      <c r="L27" s="3">
        <f>4971925.17-30296.39</f>
        <v>4941628.78</v>
      </c>
      <c r="M27" s="3">
        <f t="shared" si="4"/>
        <v>4941628.78</v>
      </c>
      <c r="N27" s="32">
        <f t="shared" si="5"/>
        <v>0</v>
      </c>
      <c r="P27" s="3">
        <v>2095665.55</v>
      </c>
      <c r="R27" s="3"/>
      <c r="S27" s="3">
        <v>819775.54</v>
      </c>
      <c r="T27" s="3">
        <f t="shared" si="6"/>
        <v>819775.54</v>
      </c>
      <c r="U27" s="32">
        <f t="shared" si="7"/>
        <v>0</v>
      </c>
      <c r="W27" s="3">
        <v>1632740.09</v>
      </c>
      <c r="Y27" s="3"/>
      <c r="Z27" s="34">
        <v>5740244.6100000003</v>
      </c>
      <c r="AA27" s="3">
        <f t="shared" si="8"/>
        <v>5740244.6100000003</v>
      </c>
      <c r="AB27" s="32">
        <f t="shared" si="9"/>
        <v>0</v>
      </c>
      <c r="AD27" s="3">
        <v>591495.64</v>
      </c>
      <c r="AF27" s="3"/>
      <c r="AG27" s="34">
        <f>2076840.41-5772.8</f>
        <v>2071067.6099999999</v>
      </c>
      <c r="AH27" s="3">
        <f t="shared" si="10"/>
        <v>2071067.6099999999</v>
      </c>
      <c r="AI27" s="32">
        <f t="shared" si="11"/>
        <v>0</v>
      </c>
      <c r="AK27" s="3">
        <v>143577.12</v>
      </c>
      <c r="AM27" s="3"/>
      <c r="AN27" s="3">
        <f>9370525.73-5145588.04</f>
        <v>4224937.6900000004</v>
      </c>
      <c r="AO27" s="3">
        <f t="shared" si="12"/>
        <v>4224937.6900000004</v>
      </c>
      <c r="AP27" s="32">
        <f t="shared" si="13"/>
        <v>0</v>
      </c>
      <c r="AR27" s="3">
        <v>994836.55</v>
      </c>
      <c r="AT27" s="3">
        <v>0</v>
      </c>
      <c r="AU27" s="3">
        <f>385251.58-73.04</f>
        <v>385178.54000000004</v>
      </c>
      <c r="AV27" s="3">
        <f t="shared" si="14"/>
        <v>385178.54000000004</v>
      </c>
      <c r="AW27" s="32">
        <f t="shared" si="15"/>
        <v>0</v>
      </c>
      <c r="AY27" s="3">
        <v>216668.34</v>
      </c>
      <c r="BA27" s="3">
        <v>0</v>
      </c>
      <c r="BB27" s="3">
        <v>962446.22</v>
      </c>
      <c r="BC27" s="3">
        <f t="shared" si="16"/>
        <v>962446.22</v>
      </c>
      <c r="BD27" s="32">
        <f t="shared" si="17"/>
        <v>0</v>
      </c>
      <c r="BF27" s="3">
        <v>130301.93</v>
      </c>
      <c r="BH27" s="3">
        <v>0</v>
      </c>
      <c r="BI27" s="3">
        <v>497182.73</v>
      </c>
      <c r="BJ27" s="3">
        <f t="shared" si="18"/>
        <v>497182.73</v>
      </c>
      <c r="BK27" s="32">
        <f t="shared" si="19"/>
        <v>0</v>
      </c>
      <c r="BM27" s="3">
        <v>92081.59</v>
      </c>
      <c r="BO27" s="3">
        <v>0</v>
      </c>
      <c r="BP27" s="3">
        <f>1866102.66</f>
        <v>1866102.66</v>
      </c>
      <c r="BQ27" s="3">
        <f t="shared" si="20"/>
        <v>1866102.66</v>
      </c>
      <c r="BR27" s="32">
        <f t="shared" si="21"/>
        <v>0</v>
      </c>
      <c r="BT27" s="3">
        <v>1124835.47</v>
      </c>
      <c r="BV27" s="3">
        <v>0</v>
      </c>
      <c r="BW27" s="34">
        <f>1790177</f>
        <v>1790177</v>
      </c>
      <c r="BX27" s="3">
        <f t="shared" si="22"/>
        <v>1790177</v>
      </c>
      <c r="BY27" s="32">
        <f t="shared" si="23"/>
        <v>0</v>
      </c>
      <c r="CA27" s="3">
        <v>610581.01</v>
      </c>
      <c r="CC27" s="3">
        <v>0</v>
      </c>
      <c r="CD27" s="3">
        <v>1021285.31</v>
      </c>
      <c r="CE27" s="3">
        <f t="shared" si="24"/>
        <v>1021285.31</v>
      </c>
      <c r="CF27" s="32">
        <f t="shared" si="25"/>
        <v>0</v>
      </c>
      <c r="CH27" s="3">
        <v>412247.03</v>
      </c>
      <c r="CJ27" s="3">
        <f t="shared" si="26"/>
        <v>0</v>
      </c>
      <c r="CK27" s="3">
        <f>+E27+L27+S27+Z27+AG27+AN27+AU27+BB27+BI27+BP27+BW27+CD27</f>
        <v>34166240.299999997</v>
      </c>
      <c r="CL27" s="3">
        <f t="shared" si="27"/>
        <v>34166240.299999997</v>
      </c>
      <c r="CM27" s="32">
        <f t="shared" si="28"/>
        <v>0</v>
      </c>
      <c r="CO27" s="3">
        <f t="shared" si="36"/>
        <v>11452185.489999998</v>
      </c>
      <c r="CQ27" s="3">
        <f t="shared" si="1"/>
        <v>0</v>
      </c>
      <c r="CR27" s="3">
        <f t="shared" si="1"/>
        <v>34166240.299999997</v>
      </c>
      <c r="CS27" s="3">
        <f t="shared" si="29"/>
        <v>34166240.299999997</v>
      </c>
      <c r="CT27" s="32">
        <f t="shared" si="30"/>
        <v>0</v>
      </c>
      <c r="CV27" s="3">
        <f t="shared" si="31"/>
        <v>11452185.489999998</v>
      </c>
      <c r="CX27" s="3">
        <f t="shared" si="32"/>
        <v>0</v>
      </c>
      <c r="CY27" s="3">
        <f t="shared" si="33"/>
        <v>0</v>
      </c>
      <c r="CZ27" s="3">
        <f t="shared" si="34"/>
        <v>0</v>
      </c>
      <c r="DA27" s="3">
        <f t="shared" si="35"/>
        <v>34166240.299999997</v>
      </c>
    </row>
    <row r="28" spans="1:105" s="31" customFormat="1" ht="16.5" customHeight="1" x14ac:dyDescent="0.3">
      <c r="A28" s="29"/>
      <c r="B28" s="30" t="s">
        <v>8</v>
      </c>
      <c r="D28" s="3">
        <v>0</v>
      </c>
      <c r="E28" s="3">
        <f>1189136.79-140311.21</f>
        <v>1048825.58</v>
      </c>
      <c r="F28" s="3">
        <f t="shared" si="2"/>
        <v>1048825.58</v>
      </c>
      <c r="G28" s="32">
        <f t="shared" si="3"/>
        <v>0</v>
      </c>
      <c r="I28" s="3">
        <v>76691</v>
      </c>
      <c r="K28" s="33">
        <v>0</v>
      </c>
      <c r="L28" s="3">
        <v>168342.87</v>
      </c>
      <c r="M28" s="3">
        <f t="shared" si="4"/>
        <v>168342.87</v>
      </c>
      <c r="N28" s="32">
        <f t="shared" si="5"/>
        <v>0</v>
      </c>
      <c r="P28" s="3">
        <v>47178.69</v>
      </c>
      <c r="R28" s="3"/>
      <c r="S28" s="3">
        <v>112885.53</v>
      </c>
      <c r="T28" s="3">
        <f t="shared" si="6"/>
        <v>112885.53</v>
      </c>
      <c r="U28" s="32">
        <f t="shared" si="7"/>
        <v>0</v>
      </c>
      <c r="W28" s="3">
        <v>250697.01</v>
      </c>
      <c r="Y28" s="3"/>
      <c r="Z28" s="34">
        <v>739166.04</v>
      </c>
      <c r="AA28" s="3">
        <f t="shared" si="8"/>
        <v>739166.04</v>
      </c>
      <c r="AB28" s="32">
        <f t="shared" si="9"/>
        <v>0</v>
      </c>
      <c r="AD28" s="3">
        <v>8972.69</v>
      </c>
      <c r="AF28" s="3"/>
      <c r="AG28" s="34">
        <v>477956.13</v>
      </c>
      <c r="AH28" s="3">
        <f t="shared" si="10"/>
        <v>477956.13</v>
      </c>
      <c r="AI28" s="32">
        <f t="shared" si="11"/>
        <v>0</v>
      </c>
      <c r="AK28" s="3">
        <v>32468.58</v>
      </c>
      <c r="AM28" s="3"/>
      <c r="AN28" s="3">
        <v>138136.70000000001</v>
      </c>
      <c r="AO28" s="3">
        <f t="shared" si="12"/>
        <v>138136.70000000001</v>
      </c>
      <c r="AP28" s="32">
        <f t="shared" si="13"/>
        <v>0</v>
      </c>
      <c r="AR28" s="3">
        <v>838268.59</v>
      </c>
      <c r="AT28" s="3">
        <v>0</v>
      </c>
      <c r="AU28" s="3">
        <v>16087.56</v>
      </c>
      <c r="AV28" s="3">
        <f t="shared" si="14"/>
        <v>16087.56</v>
      </c>
      <c r="AW28" s="32">
        <f t="shared" si="15"/>
        <v>0</v>
      </c>
      <c r="AY28" s="3">
        <v>94635.07</v>
      </c>
      <c r="BA28" s="3">
        <v>0</v>
      </c>
      <c r="BB28" s="3">
        <v>37833.440000000002</v>
      </c>
      <c r="BC28" s="3">
        <f t="shared" si="16"/>
        <v>37833.440000000002</v>
      </c>
      <c r="BD28" s="32">
        <f t="shared" si="17"/>
        <v>0</v>
      </c>
      <c r="BF28" s="3">
        <v>24578.639999999999</v>
      </c>
      <c r="BH28" s="3">
        <v>0</v>
      </c>
      <c r="BI28" s="3">
        <v>28260.39</v>
      </c>
      <c r="BJ28" s="3">
        <f t="shared" si="18"/>
        <v>28260.39</v>
      </c>
      <c r="BK28" s="32">
        <f t="shared" si="19"/>
        <v>0</v>
      </c>
      <c r="BM28" s="3">
        <v>37127.25</v>
      </c>
      <c r="BO28" s="3">
        <v>0</v>
      </c>
      <c r="BP28" s="3">
        <v>165067.95000000001</v>
      </c>
      <c r="BQ28" s="3">
        <f t="shared" si="20"/>
        <v>165067.95000000001</v>
      </c>
      <c r="BR28" s="32">
        <f t="shared" si="21"/>
        <v>0</v>
      </c>
      <c r="BT28" s="3">
        <v>165147.18</v>
      </c>
      <c r="BV28" s="3">
        <v>0</v>
      </c>
      <c r="BW28" s="34">
        <v>30202.1</v>
      </c>
      <c r="BX28" s="3">
        <f t="shared" si="22"/>
        <v>30202.1</v>
      </c>
      <c r="BY28" s="32">
        <f t="shared" si="23"/>
        <v>0</v>
      </c>
      <c r="CA28" s="3">
        <v>15909.02</v>
      </c>
      <c r="CC28" s="3">
        <v>0</v>
      </c>
      <c r="CD28" s="3">
        <v>28117.22</v>
      </c>
      <c r="CE28" s="3">
        <f t="shared" si="24"/>
        <v>28117.22</v>
      </c>
      <c r="CF28" s="32">
        <f t="shared" si="25"/>
        <v>0</v>
      </c>
      <c r="CH28" s="3">
        <v>1571.66</v>
      </c>
      <c r="CJ28" s="3">
        <f t="shared" si="26"/>
        <v>0</v>
      </c>
      <c r="CK28" s="3">
        <f>+E28+L28+S28+Z28+AG28+AN28+AU28+BB28+BI28+BP28+BW28+CD28</f>
        <v>2990881.5100000012</v>
      </c>
      <c r="CL28" s="3">
        <f t="shared" si="27"/>
        <v>2990881.5100000012</v>
      </c>
      <c r="CM28" s="32">
        <f t="shared" si="28"/>
        <v>0</v>
      </c>
      <c r="CO28" s="3">
        <f t="shared" si="36"/>
        <v>1593245.38</v>
      </c>
      <c r="CQ28" s="3">
        <f t="shared" si="1"/>
        <v>0</v>
      </c>
      <c r="CR28" s="3">
        <f t="shared" si="1"/>
        <v>2990881.5100000012</v>
      </c>
      <c r="CS28" s="3">
        <f t="shared" si="29"/>
        <v>2990881.5100000012</v>
      </c>
      <c r="CT28" s="32">
        <f t="shared" si="30"/>
        <v>0</v>
      </c>
      <c r="CV28" s="3">
        <f t="shared" si="31"/>
        <v>1593245.38</v>
      </c>
      <c r="CX28" s="3">
        <f t="shared" si="32"/>
        <v>0</v>
      </c>
      <c r="CY28" s="3">
        <f t="shared" si="33"/>
        <v>0</v>
      </c>
      <c r="CZ28" s="3">
        <f t="shared" si="34"/>
        <v>0</v>
      </c>
      <c r="DA28" s="3">
        <f t="shared" si="35"/>
        <v>2990881.5100000012</v>
      </c>
    </row>
    <row r="29" spans="1:105" s="31" customFormat="1" ht="16.5" customHeight="1" x14ac:dyDescent="0.3">
      <c r="A29" s="38"/>
      <c r="B29" s="39" t="s">
        <v>14</v>
      </c>
      <c r="D29" s="10">
        <f>SUM(D25+D23+D21+D17+D15)</f>
        <v>118898265.32000001</v>
      </c>
      <c r="E29" s="10">
        <f>SUM(E25+E23+E21+E17+E15)</f>
        <v>139283116.77000001</v>
      </c>
      <c r="F29" s="10">
        <f t="shared" si="2"/>
        <v>20384851.450000003</v>
      </c>
      <c r="G29" s="40">
        <f t="shared" si="3"/>
        <v>1.1714478457287556</v>
      </c>
      <c r="I29" s="10">
        <f>+I15+I17+I21+I23+I25</f>
        <v>109694575.44</v>
      </c>
      <c r="K29" s="6">
        <f>SUM(K15+K17+K21+K23+K25)</f>
        <v>18858397.899999999</v>
      </c>
      <c r="L29" s="6">
        <f>SUM(L15+L17+L21+L23+L25)</f>
        <v>30535135.550000001</v>
      </c>
      <c r="M29" s="10">
        <f t="shared" si="4"/>
        <v>11676737.650000002</v>
      </c>
      <c r="N29" s="40">
        <f t="shared" si="5"/>
        <v>1.6191797262905352</v>
      </c>
      <c r="P29" s="10">
        <f>+P15+P17+P21+P23+P25</f>
        <v>25565911.510000002</v>
      </c>
      <c r="R29" s="10">
        <f>SUM(R15+R17+R21+R23+R25)</f>
        <v>15691082.27</v>
      </c>
      <c r="S29" s="10">
        <f>SUM(S15+S17+S21+S23+S25)</f>
        <v>20919956.109999996</v>
      </c>
      <c r="T29" s="10">
        <f t="shared" si="6"/>
        <v>5228873.8399999961</v>
      </c>
      <c r="U29" s="40">
        <f t="shared" si="7"/>
        <v>1.3332385714398525</v>
      </c>
      <c r="W29" s="10">
        <f>+W15+W17+W21+W23+W25</f>
        <v>24008167.210000001</v>
      </c>
      <c r="Y29" s="10">
        <f>SUM(Y25+Y23+Y21+Y17+Y15)</f>
        <v>15057914.470000001</v>
      </c>
      <c r="Z29" s="10">
        <f>SUM(Z25+Z23+Z21+Z17+Z15)</f>
        <v>29867921.270000003</v>
      </c>
      <c r="AA29" s="10">
        <f t="shared" si="8"/>
        <v>14810006.800000003</v>
      </c>
      <c r="AB29" s="40">
        <f t="shared" si="9"/>
        <v>1.9835363874264325</v>
      </c>
      <c r="AD29" s="10">
        <f>+AD15+AD17+AD21+AD23+AD25</f>
        <v>27360271.449999996</v>
      </c>
      <c r="AF29" s="10">
        <f>SUM(AF15+AF17+AF21+AF23+AF25)</f>
        <v>13706631.370000001</v>
      </c>
      <c r="AG29" s="10">
        <f>SUM(AG15+AG17+AG21+AG23+AG25)</f>
        <v>31830197.129999995</v>
      </c>
      <c r="AH29" s="10">
        <f t="shared" si="10"/>
        <v>18123565.759999994</v>
      </c>
      <c r="AI29" s="40">
        <f t="shared" si="11"/>
        <v>2.3222479886390928</v>
      </c>
      <c r="AK29" s="10">
        <f>+AK15+AK17+AK21+AK23+AK25</f>
        <v>20859510.780000005</v>
      </c>
      <c r="AM29" s="10">
        <f>SUM(AM15+AM17+AM21+AM23+AM25)</f>
        <v>16024891.309999999</v>
      </c>
      <c r="AN29" s="10">
        <f>SUM(AN15+AN17+AN21+AN23+AN25)</f>
        <v>50698074.109999999</v>
      </c>
      <c r="AO29" s="10">
        <f t="shared" si="12"/>
        <v>34673182.799999997</v>
      </c>
      <c r="AP29" s="40">
        <f t="shared" si="13"/>
        <v>3.1637078298536054</v>
      </c>
      <c r="AR29" s="10">
        <f>+AR15+AR17+AR21+AR23+AR25</f>
        <v>26938752.580000002</v>
      </c>
      <c r="AT29" s="10">
        <f>+AT15+AT17+AT21+AT23+AT25</f>
        <v>18005399.09</v>
      </c>
      <c r="AU29" s="10">
        <f>SUM(AU15+AU17+AU21+AU23+AU25)</f>
        <v>31789395.629999999</v>
      </c>
      <c r="AV29" s="10">
        <f t="shared" si="14"/>
        <v>13783996.539999999</v>
      </c>
      <c r="AW29" s="40">
        <f t="shared" si="15"/>
        <v>1.7655479598702968</v>
      </c>
      <c r="AY29" s="10">
        <f>+AY15+AY17+AY21+AY23+AY25</f>
        <v>29471477.300000004</v>
      </c>
      <c r="BA29" s="10">
        <f>+BA15+BA17+BA21+BA23+BA25</f>
        <v>14569662.42</v>
      </c>
      <c r="BB29" s="10">
        <f>+BB15+BB17+BB21+BB23+BB25</f>
        <v>25212448.309999999</v>
      </c>
      <c r="BC29" s="10">
        <f t="shared" si="16"/>
        <v>10642785.889999999</v>
      </c>
      <c r="BD29" s="40">
        <f t="shared" si="17"/>
        <v>1.7304758053550013</v>
      </c>
      <c r="BF29" s="10">
        <f>+BF15+BF17+BF21+BF23+BF25</f>
        <v>21408022.760000002</v>
      </c>
      <c r="BH29" s="10">
        <f>+BH15+BH17+BH21+BH23+BH25</f>
        <v>13965464.569999998</v>
      </c>
      <c r="BI29" s="10">
        <f>+BI15+BI17+BI21+BI23+BI25</f>
        <v>32281962.960000001</v>
      </c>
      <c r="BJ29" s="10">
        <f t="shared" si="18"/>
        <v>18316498.390000001</v>
      </c>
      <c r="BK29" s="40">
        <f t="shared" si="19"/>
        <v>2.3115566831444121</v>
      </c>
      <c r="BM29" s="10">
        <f>+BM15+BM17+BM21+BM23+BM25</f>
        <v>22462704.359999999</v>
      </c>
      <c r="BO29" s="10">
        <f>+BO15+BO17+BO21+BO23+BO25</f>
        <v>14538707.010000002</v>
      </c>
      <c r="BP29" s="10">
        <f>+BP15+BP17+BP21+BP23+BP25</f>
        <v>31489351.479999997</v>
      </c>
      <c r="BQ29" s="10">
        <f t="shared" si="20"/>
        <v>16950644.469999995</v>
      </c>
      <c r="BR29" s="40">
        <f t="shared" si="21"/>
        <v>2.1658976591481633</v>
      </c>
      <c r="BT29" s="10">
        <f>+BT15+BT17+BT21+BT23+BT25</f>
        <v>24334831.130000003</v>
      </c>
      <c r="BV29" s="10">
        <f>+BV15+BV17+BV21+BV23+BV25</f>
        <v>18230772.490000002</v>
      </c>
      <c r="BW29" s="41">
        <f>+BW15+BW17+BW21+BW23+BW25</f>
        <v>33769550.600000001</v>
      </c>
      <c r="BX29" s="10">
        <f t="shared" si="22"/>
        <v>15538778.109999999</v>
      </c>
      <c r="BY29" s="40">
        <f t="shared" si="23"/>
        <v>1.8523378874111547</v>
      </c>
      <c r="CA29" s="10">
        <f>+CA15+CA17+CA21+CA23+CA25</f>
        <v>27523186.48</v>
      </c>
      <c r="CC29" s="10">
        <f>+CC15+CC17+CC21+CC23+CC25</f>
        <v>16671328.439999998</v>
      </c>
      <c r="CD29" s="10">
        <f>+CD15+CD17+CD21+CD23+CD25</f>
        <v>39031689.340000004</v>
      </c>
      <c r="CE29" s="10">
        <f t="shared" si="24"/>
        <v>22360360.900000006</v>
      </c>
      <c r="CF29" s="40">
        <f t="shared" si="25"/>
        <v>2.341246498770317</v>
      </c>
      <c r="CH29" s="10">
        <f>+CH15+CH17+CH21+CH23+CH25</f>
        <v>38623351.49000001</v>
      </c>
      <c r="CJ29" s="10">
        <f t="shared" si="26"/>
        <v>294218516.65999997</v>
      </c>
      <c r="CK29" s="10">
        <f>+CK15+CK17+CK21+CK23+CK25</f>
        <v>496708799.25999999</v>
      </c>
      <c r="CL29" s="10">
        <f t="shared" si="27"/>
        <v>202490282.60000002</v>
      </c>
      <c r="CM29" s="40">
        <f t="shared" si="28"/>
        <v>1.6882309274708178</v>
      </c>
      <c r="CO29" s="10">
        <f t="shared" si="36"/>
        <v>398250762.49000007</v>
      </c>
      <c r="CQ29" s="10">
        <f>+D29+K29+R29+Y29+AF29+AM29+AT29+BA29+BH29+BO29+BV29+CC29</f>
        <v>294218516.65999997</v>
      </c>
      <c r="CR29" s="10">
        <f t="shared" si="1"/>
        <v>496708799.25999999</v>
      </c>
      <c r="CS29" s="10">
        <f t="shared" si="29"/>
        <v>202490282.60000002</v>
      </c>
      <c r="CT29" s="40">
        <f t="shared" si="30"/>
        <v>1.6882309274708178</v>
      </c>
      <c r="CV29" s="10">
        <f t="shared" si="31"/>
        <v>398250762.49000007</v>
      </c>
      <c r="CX29" s="10">
        <f t="shared" si="32"/>
        <v>49440807.939999998</v>
      </c>
      <c r="CY29" s="10">
        <f t="shared" si="33"/>
        <v>49440807.939999998</v>
      </c>
      <c r="CZ29" s="10">
        <f t="shared" si="34"/>
        <v>56856929.13099999</v>
      </c>
      <c r="DA29" s="10">
        <f t="shared" si="35"/>
        <v>553565728.39100003</v>
      </c>
    </row>
    <row r="30" spans="1:105" s="26" customFormat="1" ht="16.5" customHeight="1" x14ac:dyDescent="0.3">
      <c r="A30" s="35"/>
      <c r="B30" s="36" t="s">
        <v>15</v>
      </c>
      <c r="D30" s="5">
        <f>SUM(D31:D32)</f>
        <v>24.97</v>
      </c>
      <c r="E30" s="5">
        <f>SUM(E31:E32)</f>
        <v>36</v>
      </c>
      <c r="F30" s="5">
        <f t="shared" si="2"/>
        <v>11.030000000000001</v>
      </c>
      <c r="G30" s="37">
        <f t="shared" si="3"/>
        <v>1.4417300760913097</v>
      </c>
      <c r="I30" s="5">
        <f>SUM(I31:I32)</f>
        <v>0</v>
      </c>
      <c r="K30" s="42">
        <v>794.32</v>
      </c>
      <c r="L30" s="5">
        <f>SUM(L31:L32)</f>
        <v>-36</v>
      </c>
      <c r="M30" s="5">
        <f t="shared" si="4"/>
        <v>-830.32</v>
      </c>
      <c r="N30" s="37">
        <f t="shared" si="5"/>
        <v>-4.5321784671165273E-2</v>
      </c>
      <c r="P30" s="5">
        <f>SUM(P31:P32)</f>
        <v>19089.27</v>
      </c>
      <c r="R30" s="5">
        <v>4.16</v>
      </c>
      <c r="S30" s="5"/>
      <c r="T30" s="5">
        <f t="shared" si="6"/>
        <v>-4.16</v>
      </c>
      <c r="U30" s="37">
        <f t="shared" si="7"/>
        <v>0</v>
      </c>
      <c r="W30" s="5">
        <f>SUM(W31:W32)</f>
        <v>0</v>
      </c>
      <c r="Y30" s="5">
        <v>0</v>
      </c>
      <c r="Z30" s="43"/>
      <c r="AA30" s="5">
        <f t="shared" si="8"/>
        <v>0</v>
      </c>
      <c r="AB30" s="37">
        <f t="shared" si="9"/>
        <v>0</v>
      </c>
      <c r="AD30" s="5">
        <f>SUM(AD31:AD32)</f>
        <v>0</v>
      </c>
      <c r="AF30" s="5">
        <v>0</v>
      </c>
      <c r="AG30" s="43">
        <f>AG31+AG32</f>
        <v>3200</v>
      </c>
      <c r="AH30" s="5">
        <f t="shared" si="10"/>
        <v>3200</v>
      </c>
      <c r="AI30" s="37">
        <f t="shared" si="11"/>
        <v>0</v>
      </c>
      <c r="AK30" s="5">
        <f>SUM(AK31:AK32)</f>
        <v>0</v>
      </c>
      <c r="AM30" s="5">
        <v>17476.580000000002</v>
      </c>
      <c r="AN30" s="5">
        <f>AN31+AN32</f>
        <v>0</v>
      </c>
      <c r="AO30" s="5">
        <f t="shared" si="12"/>
        <v>-17476.580000000002</v>
      </c>
      <c r="AP30" s="37">
        <f t="shared" si="13"/>
        <v>0</v>
      </c>
      <c r="AR30" s="5">
        <f>SUM(AR31:AR32)</f>
        <v>420000</v>
      </c>
      <c r="AT30" s="2">
        <v>0</v>
      </c>
      <c r="AU30" s="5">
        <f>AU31+AU32</f>
        <v>0</v>
      </c>
      <c r="AV30" s="5">
        <f t="shared" si="14"/>
        <v>0</v>
      </c>
      <c r="AW30" s="37">
        <f t="shared" si="15"/>
        <v>0</v>
      </c>
      <c r="AY30" s="5">
        <f>SUM(AY31:AY32)</f>
        <v>0</v>
      </c>
      <c r="BA30" s="5">
        <f>SUM(BA31:BA32)</f>
        <v>624.16</v>
      </c>
      <c r="BB30" s="5">
        <v>0</v>
      </c>
      <c r="BC30" s="5">
        <f t="shared" si="16"/>
        <v>-624.16</v>
      </c>
      <c r="BD30" s="37">
        <f t="shared" si="17"/>
        <v>0</v>
      </c>
      <c r="BF30" s="5">
        <f>SUM(BF31:BF32)</f>
        <v>0</v>
      </c>
      <c r="BH30" s="5">
        <f>SUM(BH31:BH32)</f>
        <v>0</v>
      </c>
      <c r="BI30" s="5"/>
      <c r="BJ30" s="5">
        <f t="shared" si="18"/>
        <v>0</v>
      </c>
      <c r="BK30" s="37">
        <f t="shared" si="19"/>
        <v>0</v>
      </c>
      <c r="BM30" s="5">
        <f>SUM(BM31:BM32)</f>
        <v>0</v>
      </c>
      <c r="BO30" s="5">
        <f>SUM(BO31:BO32)</f>
        <v>20.81</v>
      </c>
      <c r="BP30" s="5"/>
      <c r="BQ30" s="5">
        <f t="shared" si="20"/>
        <v>-20.81</v>
      </c>
      <c r="BR30" s="37">
        <f t="shared" si="21"/>
        <v>0</v>
      </c>
      <c r="BT30" s="5">
        <f>SUM(BT31:BT32)</f>
        <v>0</v>
      </c>
      <c r="BV30" s="5">
        <f>SUM(BV31:BV32)</f>
        <v>0</v>
      </c>
      <c r="BW30" s="43">
        <f>BW31+BW32</f>
        <v>0</v>
      </c>
      <c r="BX30" s="5">
        <f t="shared" si="22"/>
        <v>0</v>
      </c>
      <c r="BY30" s="37">
        <f t="shared" si="23"/>
        <v>0</v>
      </c>
      <c r="CA30" s="5">
        <f>SUM(CA31:CA32)</f>
        <v>0</v>
      </c>
      <c r="CC30" s="9">
        <f>SUM(CC31:CC32)</f>
        <v>0</v>
      </c>
      <c r="CD30" s="5">
        <f>CD31+CD32</f>
        <v>0</v>
      </c>
      <c r="CE30" s="5">
        <f t="shared" si="24"/>
        <v>0</v>
      </c>
      <c r="CF30" s="37">
        <f t="shared" si="25"/>
        <v>0</v>
      </c>
      <c r="CH30" s="5">
        <f>SUM(CH31:CH32)</f>
        <v>0</v>
      </c>
      <c r="CJ30" s="5">
        <f t="shared" si="26"/>
        <v>18945.000000000004</v>
      </c>
      <c r="CK30" s="5">
        <f>+E30+L30+S30+Z30+AG30+AN30+AU30+BB30+BI30+BP30</f>
        <v>3200</v>
      </c>
      <c r="CL30" s="5">
        <f t="shared" si="27"/>
        <v>-15745.000000000004</v>
      </c>
      <c r="CM30" s="37">
        <f t="shared" si="28"/>
        <v>0.16891000263921876</v>
      </c>
      <c r="CO30" s="4">
        <f t="shared" si="36"/>
        <v>439089.27</v>
      </c>
      <c r="CQ30" s="5">
        <f t="shared" si="1"/>
        <v>18945.000000000004</v>
      </c>
      <c r="CR30" s="5">
        <f t="shared" si="1"/>
        <v>3200</v>
      </c>
      <c r="CS30" s="5">
        <f t="shared" si="29"/>
        <v>-15745.000000000004</v>
      </c>
      <c r="CT30" s="37">
        <f t="shared" si="30"/>
        <v>0.16891000263921876</v>
      </c>
      <c r="CV30" s="5">
        <f t="shared" si="31"/>
        <v>439089.27</v>
      </c>
      <c r="CX30" s="5">
        <f t="shared" si="32"/>
        <v>20.81</v>
      </c>
      <c r="CY30" s="5">
        <f t="shared" si="33"/>
        <v>20.81</v>
      </c>
      <c r="CZ30" s="5">
        <f t="shared" si="34"/>
        <v>23.931499999999996</v>
      </c>
      <c r="DA30" s="5">
        <f t="shared" si="35"/>
        <v>3223.9315000000001</v>
      </c>
    </row>
    <row r="31" spans="1:105" s="31" customFormat="1" ht="16.5" customHeight="1" x14ac:dyDescent="0.3">
      <c r="A31" s="29">
        <v>19</v>
      </c>
      <c r="B31" s="30" t="s">
        <v>16</v>
      </c>
      <c r="D31" s="3">
        <v>24.97</v>
      </c>
      <c r="E31" s="3">
        <v>36</v>
      </c>
      <c r="F31" s="3">
        <f t="shared" si="2"/>
        <v>11.030000000000001</v>
      </c>
      <c r="G31" s="32">
        <f t="shared" si="3"/>
        <v>1.4417300760913097</v>
      </c>
      <c r="I31" s="3">
        <v>0</v>
      </c>
      <c r="K31" s="33">
        <v>794.32</v>
      </c>
      <c r="L31" s="3">
        <f>19-55</f>
        <v>-36</v>
      </c>
      <c r="M31" s="3">
        <f t="shared" si="4"/>
        <v>-830.32</v>
      </c>
      <c r="N31" s="32">
        <f t="shared" si="5"/>
        <v>-4.5321784671165273E-2</v>
      </c>
      <c r="P31" s="3">
        <v>19089.27</v>
      </c>
      <c r="R31" s="3">
        <v>4.16</v>
      </c>
      <c r="S31" s="3">
        <f>3-3</f>
        <v>0</v>
      </c>
      <c r="T31" s="3">
        <f t="shared" si="6"/>
        <v>-4.16</v>
      </c>
      <c r="U31" s="32">
        <f t="shared" si="7"/>
        <v>0</v>
      </c>
      <c r="W31" s="3">
        <v>0</v>
      </c>
      <c r="Y31" s="3">
        <v>0</v>
      </c>
      <c r="Z31" s="34"/>
      <c r="AA31" s="3">
        <f t="shared" si="8"/>
        <v>0</v>
      </c>
      <c r="AB31" s="32">
        <f t="shared" si="9"/>
        <v>0</v>
      </c>
      <c r="AD31" s="3">
        <v>0</v>
      </c>
      <c r="AF31" s="3">
        <v>0</v>
      </c>
      <c r="AG31" s="34">
        <f>3218-18</f>
        <v>3200</v>
      </c>
      <c r="AH31" s="3">
        <f t="shared" si="10"/>
        <v>3200</v>
      </c>
      <c r="AI31" s="32">
        <f t="shared" si="11"/>
        <v>0</v>
      </c>
      <c r="AK31" s="3">
        <v>0</v>
      </c>
      <c r="AM31" s="3">
        <v>17476.580000000002</v>
      </c>
      <c r="AN31" s="3">
        <f>5-5</f>
        <v>0</v>
      </c>
      <c r="AO31" s="3">
        <f t="shared" si="12"/>
        <v>-17476.580000000002</v>
      </c>
      <c r="AP31" s="32">
        <f t="shared" si="13"/>
        <v>0</v>
      </c>
      <c r="AR31" s="3">
        <v>420000</v>
      </c>
      <c r="AT31" s="3">
        <v>0</v>
      </c>
      <c r="AU31" s="3">
        <f>5-5</f>
        <v>0</v>
      </c>
      <c r="AV31" s="3">
        <f t="shared" si="14"/>
        <v>0</v>
      </c>
      <c r="AW31" s="32">
        <f t="shared" si="15"/>
        <v>0</v>
      </c>
      <c r="AY31" s="3">
        <v>0</v>
      </c>
      <c r="BA31" s="3">
        <v>624.16</v>
      </c>
      <c r="BB31" s="3">
        <v>0</v>
      </c>
      <c r="BC31" s="3">
        <f t="shared" si="16"/>
        <v>-624.16</v>
      </c>
      <c r="BD31" s="32">
        <f t="shared" si="17"/>
        <v>0</v>
      </c>
      <c r="BF31" s="3">
        <v>0</v>
      </c>
      <c r="BH31" s="3">
        <v>0</v>
      </c>
      <c r="BI31" s="3">
        <v>0</v>
      </c>
      <c r="BJ31" s="3">
        <f t="shared" si="18"/>
        <v>0</v>
      </c>
      <c r="BK31" s="32">
        <f t="shared" si="19"/>
        <v>0</v>
      </c>
      <c r="BM31" s="3">
        <v>0</v>
      </c>
      <c r="BO31" s="3">
        <v>20.81</v>
      </c>
      <c r="BP31" s="3"/>
      <c r="BQ31" s="3">
        <f t="shared" si="20"/>
        <v>-20.81</v>
      </c>
      <c r="BR31" s="32">
        <f t="shared" si="21"/>
        <v>0</v>
      </c>
      <c r="BT31" s="3">
        <v>0</v>
      </c>
      <c r="BV31" s="3">
        <v>0</v>
      </c>
      <c r="BW31" s="34"/>
      <c r="BX31" s="3">
        <f t="shared" si="22"/>
        <v>0</v>
      </c>
      <c r="BY31" s="32">
        <f t="shared" si="23"/>
        <v>0</v>
      </c>
      <c r="CA31" s="3"/>
      <c r="CC31" s="3">
        <v>0</v>
      </c>
      <c r="CD31" s="3">
        <v>0</v>
      </c>
      <c r="CE31" s="3">
        <f t="shared" si="24"/>
        <v>0</v>
      </c>
      <c r="CF31" s="32">
        <f t="shared" si="25"/>
        <v>0</v>
      </c>
      <c r="CH31" s="3">
        <v>0</v>
      </c>
      <c r="CJ31" s="3">
        <f t="shared" si="26"/>
        <v>18945.000000000004</v>
      </c>
      <c r="CK31" s="3">
        <f>+E31+L31+S31+Z31+AG31+AN31+AU31+BB31+BI31+BP31+BW31+CD31</f>
        <v>3200</v>
      </c>
      <c r="CL31" s="3">
        <f t="shared" si="27"/>
        <v>-15745.000000000004</v>
      </c>
      <c r="CM31" s="32">
        <f t="shared" si="28"/>
        <v>0.16891000263921876</v>
      </c>
      <c r="CO31" s="3">
        <f t="shared" si="36"/>
        <v>439089.27</v>
      </c>
      <c r="CQ31" s="3">
        <f t="shared" si="1"/>
        <v>18945.000000000004</v>
      </c>
      <c r="CR31" s="3">
        <f t="shared" si="1"/>
        <v>3200</v>
      </c>
      <c r="CS31" s="3">
        <f t="shared" si="29"/>
        <v>-15745.000000000004</v>
      </c>
      <c r="CT31" s="32">
        <f t="shared" si="30"/>
        <v>0.16891000263921876</v>
      </c>
      <c r="CV31" s="3">
        <f t="shared" si="31"/>
        <v>439089.27</v>
      </c>
      <c r="CX31" s="3">
        <f t="shared" si="32"/>
        <v>20.81</v>
      </c>
      <c r="CY31" s="3">
        <f t="shared" si="33"/>
        <v>20.81</v>
      </c>
      <c r="CZ31" s="3">
        <f t="shared" si="34"/>
        <v>23.931499999999996</v>
      </c>
      <c r="DA31" s="3">
        <f t="shared" si="35"/>
        <v>3223.9315000000001</v>
      </c>
    </row>
    <row r="32" spans="1:105" s="31" customFormat="1" ht="16.5" customHeight="1" x14ac:dyDescent="0.3">
      <c r="A32" s="29">
        <v>20</v>
      </c>
      <c r="B32" s="30" t="s">
        <v>17</v>
      </c>
      <c r="D32" s="3">
        <v>0</v>
      </c>
      <c r="E32" s="3"/>
      <c r="F32" s="3">
        <f t="shared" si="2"/>
        <v>0</v>
      </c>
      <c r="G32" s="32">
        <f t="shared" si="3"/>
        <v>0</v>
      </c>
      <c r="I32" s="3">
        <v>0</v>
      </c>
      <c r="K32" s="33"/>
      <c r="L32" s="7"/>
      <c r="M32" s="3">
        <f t="shared" si="4"/>
        <v>0</v>
      </c>
      <c r="N32" s="32">
        <f t="shared" si="5"/>
        <v>0</v>
      </c>
      <c r="P32" s="3">
        <v>0</v>
      </c>
      <c r="R32" s="3"/>
      <c r="S32" s="3">
        <v>0</v>
      </c>
      <c r="T32" s="3">
        <f t="shared" si="6"/>
        <v>0</v>
      </c>
      <c r="U32" s="32">
        <f t="shared" si="7"/>
        <v>0</v>
      </c>
      <c r="W32" s="3">
        <v>0</v>
      </c>
      <c r="Y32" s="3"/>
      <c r="Z32" s="34"/>
      <c r="AA32" s="3">
        <f t="shared" si="8"/>
        <v>0</v>
      </c>
      <c r="AB32" s="32">
        <f t="shared" si="9"/>
        <v>0</v>
      </c>
      <c r="AD32" s="3">
        <v>0</v>
      </c>
      <c r="AF32" s="3"/>
      <c r="AG32" s="34"/>
      <c r="AH32" s="3">
        <f t="shared" si="10"/>
        <v>0</v>
      </c>
      <c r="AI32" s="32">
        <f t="shared" si="11"/>
        <v>0</v>
      </c>
      <c r="AK32" s="3">
        <v>0</v>
      </c>
      <c r="AM32" s="3"/>
      <c r="AN32" s="3"/>
      <c r="AO32" s="3">
        <f t="shared" si="12"/>
        <v>0</v>
      </c>
      <c r="AP32" s="32">
        <f t="shared" si="13"/>
        <v>0</v>
      </c>
      <c r="AR32" s="3">
        <v>0</v>
      </c>
      <c r="AT32" s="3">
        <v>0</v>
      </c>
      <c r="AU32" s="3">
        <f>12-12</f>
        <v>0</v>
      </c>
      <c r="AV32" s="3">
        <f t="shared" si="14"/>
        <v>0</v>
      </c>
      <c r="AW32" s="32">
        <f t="shared" si="15"/>
        <v>0</v>
      </c>
      <c r="AY32" s="3">
        <v>0</v>
      </c>
      <c r="BA32" s="3">
        <v>0</v>
      </c>
      <c r="BB32" s="3">
        <v>0</v>
      </c>
      <c r="BC32" s="3">
        <f t="shared" si="16"/>
        <v>0</v>
      </c>
      <c r="BD32" s="32">
        <f t="shared" si="17"/>
        <v>0</v>
      </c>
      <c r="BF32" s="3">
        <v>0</v>
      </c>
      <c r="BH32" s="3">
        <v>0</v>
      </c>
      <c r="BI32" s="3"/>
      <c r="BJ32" s="3">
        <f t="shared" si="18"/>
        <v>0</v>
      </c>
      <c r="BK32" s="32">
        <f t="shared" si="19"/>
        <v>0</v>
      </c>
      <c r="BM32" s="3">
        <v>0</v>
      </c>
      <c r="BO32" s="3">
        <v>0</v>
      </c>
      <c r="BP32" s="3"/>
      <c r="BQ32" s="3">
        <f t="shared" si="20"/>
        <v>0</v>
      </c>
      <c r="BR32" s="32">
        <f t="shared" si="21"/>
        <v>0</v>
      </c>
      <c r="BT32" s="3">
        <v>0</v>
      </c>
      <c r="BV32" s="3">
        <v>0</v>
      </c>
      <c r="BW32" s="34">
        <v>0</v>
      </c>
      <c r="BX32" s="3">
        <f t="shared" si="22"/>
        <v>0</v>
      </c>
      <c r="BY32" s="32">
        <f t="shared" si="23"/>
        <v>0</v>
      </c>
      <c r="CA32" s="3">
        <v>0</v>
      </c>
      <c r="CC32" s="3">
        <v>0</v>
      </c>
      <c r="CD32" s="3">
        <v>0</v>
      </c>
      <c r="CE32" s="3">
        <f t="shared" si="24"/>
        <v>0</v>
      </c>
      <c r="CF32" s="32">
        <f t="shared" si="25"/>
        <v>0</v>
      </c>
      <c r="CH32" s="3">
        <v>0</v>
      </c>
      <c r="CJ32" s="3">
        <f t="shared" si="26"/>
        <v>0</v>
      </c>
      <c r="CK32" s="3">
        <f>+E32+L32+S32+Z32+AG32+AN32+AU32+BB32+BI32+BP32+BW32+CD32</f>
        <v>0</v>
      </c>
      <c r="CL32" s="3">
        <f t="shared" si="27"/>
        <v>0</v>
      </c>
      <c r="CM32" s="32">
        <f t="shared" si="28"/>
        <v>0</v>
      </c>
      <c r="CO32" s="3">
        <f>+I32+P32+W32+AD32+AK32+AR32</f>
        <v>0</v>
      </c>
      <c r="CQ32" s="3">
        <f t="shared" si="1"/>
        <v>0</v>
      </c>
      <c r="CR32" s="3">
        <f t="shared" si="1"/>
        <v>0</v>
      </c>
      <c r="CS32" s="3">
        <f t="shared" si="29"/>
        <v>0</v>
      </c>
      <c r="CT32" s="32">
        <f t="shared" si="30"/>
        <v>0</v>
      </c>
      <c r="CV32" s="3">
        <f t="shared" si="31"/>
        <v>0</v>
      </c>
      <c r="CX32" s="3">
        <f t="shared" si="32"/>
        <v>0</v>
      </c>
      <c r="CY32" s="3">
        <f t="shared" si="33"/>
        <v>0</v>
      </c>
      <c r="CZ32" s="3">
        <f t="shared" si="34"/>
        <v>0</v>
      </c>
      <c r="DA32" s="3">
        <f t="shared" si="35"/>
        <v>0</v>
      </c>
    </row>
    <row r="33" spans="1:105" s="31" customFormat="1" ht="16.5" customHeight="1" x14ac:dyDescent="0.3">
      <c r="A33" s="38"/>
      <c r="B33" s="39" t="s">
        <v>18</v>
      </c>
      <c r="D33" s="10">
        <f>SUM(D30)</f>
        <v>24.97</v>
      </c>
      <c r="E33" s="10">
        <f>SUM(E30)</f>
        <v>36</v>
      </c>
      <c r="F33" s="10">
        <f t="shared" si="2"/>
        <v>11.030000000000001</v>
      </c>
      <c r="G33" s="40">
        <f t="shared" si="3"/>
        <v>1.4417300760913097</v>
      </c>
      <c r="I33" s="10">
        <f>SUM(I31:I32)</f>
        <v>0</v>
      </c>
      <c r="K33" s="6">
        <f>SUM(K31)</f>
        <v>794.32</v>
      </c>
      <c r="L33" s="6">
        <f>SUM(L31)</f>
        <v>-36</v>
      </c>
      <c r="M33" s="10">
        <f t="shared" si="4"/>
        <v>-830.32</v>
      </c>
      <c r="N33" s="40">
        <f t="shared" si="5"/>
        <v>-4.5321784671165273E-2</v>
      </c>
      <c r="P33" s="10">
        <f>SUM(P31:P32)</f>
        <v>19089.27</v>
      </c>
      <c r="R33" s="10">
        <f>R31</f>
        <v>4.16</v>
      </c>
      <c r="S33" s="10">
        <f>S31+S32</f>
        <v>0</v>
      </c>
      <c r="T33" s="10">
        <f t="shared" si="6"/>
        <v>-4.16</v>
      </c>
      <c r="U33" s="40">
        <f t="shared" si="7"/>
        <v>0</v>
      </c>
      <c r="W33" s="10">
        <f>SUM(W31:W32)</f>
        <v>0</v>
      </c>
      <c r="Y33" s="10">
        <f>SUM(Y30)</f>
        <v>0</v>
      </c>
      <c r="Z33" s="10">
        <f>SUM(Z30)</f>
        <v>0</v>
      </c>
      <c r="AA33" s="10">
        <f t="shared" si="8"/>
        <v>0</v>
      </c>
      <c r="AB33" s="40">
        <f t="shared" si="9"/>
        <v>0</v>
      </c>
      <c r="AD33" s="10">
        <f>SUM(AD31:AD32)</f>
        <v>0</v>
      </c>
      <c r="AF33" s="10">
        <f>SUM(AF30)</f>
        <v>0</v>
      </c>
      <c r="AG33" s="10">
        <f>AG30</f>
        <v>3200</v>
      </c>
      <c r="AH33" s="10">
        <f t="shared" si="10"/>
        <v>3200</v>
      </c>
      <c r="AI33" s="40">
        <f t="shared" si="11"/>
        <v>0</v>
      </c>
      <c r="AK33" s="10">
        <f>SUM(AK31:AK32)</f>
        <v>0</v>
      </c>
      <c r="AM33" s="10">
        <f>SUM(AM30)</f>
        <v>17476.580000000002</v>
      </c>
      <c r="AN33" s="10">
        <f>AN30</f>
        <v>0</v>
      </c>
      <c r="AO33" s="10">
        <f t="shared" si="12"/>
        <v>-17476.580000000002</v>
      </c>
      <c r="AP33" s="40">
        <f t="shared" si="13"/>
        <v>0</v>
      </c>
      <c r="AR33" s="10">
        <f>SUM(AR31:AR32)</f>
        <v>420000</v>
      </c>
      <c r="AT33" s="10">
        <f>SUM(AT31:AT32)</f>
        <v>0</v>
      </c>
      <c r="AU33" s="10">
        <f>AU30</f>
        <v>0</v>
      </c>
      <c r="AV33" s="10">
        <f t="shared" si="14"/>
        <v>0</v>
      </c>
      <c r="AW33" s="40">
        <f t="shared" si="15"/>
        <v>0</v>
      </c>
      <c r="AY33" s="10">
        <f>SUM(AY31:AY32)</f>
        <v>0</v>
      </c>
      <c r="BA33" s="10">
        <f>SUM(BA31:BA32)</f>
        <v>624.16</v>
      </c>
      <c r="BB33" s="10">
        <f>SUM(BB31:BB32)</f>
        <v>0</v>
      </c>
      <c r="BC33" s="10">
        <f t="shared" si="16"/>
        <v>-624.16</v>
      </c>
      <c r="BD33" s="40">
        <f t="shared" si="17"/>
        <v>0</v>
      </c>
      <c r="BF33" s="10">
        <f>SUM(BF31:BF32)</f>
        <v>0</v>
      </c>
      <c r="BH33" s="10">
        <f>SUM(BH31:BH32)</f>
        <v>0</v>
      </c>
      <c r="BI33" s="10">
        <f>SUM(BI31:BI32)</f>
        <v>0</v>
      </c>
      <c r="BJ33" s="10">
        <f t="shared" si="18"/>
        <v>0</v>
      </c>
      <c r="BK33" s="40">
        <f t="shared" si="19"/>
        <v>0</v>
      </c>
      <c r="BM33" s="10">
        <f>SUM(BM31:BM32)</f>
        <v>0</v>
      </c>
      <c r="BO33" s="10">
        <f>SUM(BO31:BO32)</f>
        <v>20.81</v>
      </c>
      <c r="BP33" s="10">
        <f>SUM(BP31:BP32)</f>
        <v>0</v>
      </c>
      <c r="BQ33" s="10">
        <f t="shared" si="20"/>
        <v>-20.81</v>
      </c>
      <c r="BR33" s="40">
        <f t="shared" si="21"/>
        <v>0</v>
      </c>
      <c r="BT33" s="10">
        <f>SUM(BT31:BT32)</f>
        <v>0</v>
      </c>
      <c r="BV33" s="10">
        <f>SUM(BV31:BV32)</f>
        <v>0</v>
      </c>
      <c r="BW33" s="41">
        <f>SUM(BW31:BW32)</f>
        <v>0</v>
      </c>
      <c r="BX33" s="10">
        <f t="shared" si="22"/>
        <v>0</v>
      </c>
      <c r="BY33" s="40">
        <f t="shared" si="23"/>
        <v>0</v>
      </c>
      <c r="CA33" s="10">
        <f>SUM(CA31:CA32)</f>
        <v>0</v>
      </c>
      <c r="CC33" s="10">
        <f>SUM(CC31:CC32)</f>
        <v>0</v>
      </c>
      <c r="CD33" s="10">
        <f>SUM(CD31:CD32)</f>
        <v>0</v>
      </c>
      <c r="CE33" s="10">
        <f t="shared" si="24"/>
        <v>0</v>
      </c>
      <c r="CF33" s="40">
        <f t="shared" si="25"/>
        <v>0</v>
      </c>
      <c r="CH33" s="10">
        <f>SUM(CH31:CH32)</f>
        <v>0</v>
      </c>
      <c r="CJ33" s="10">
        <f t="shared" si="26"/>
        <v>18945.000000000004</v>
      </c>
      <c r="CK33" s="10">
        <f>+E33+L33+S33+Z33+AG33+AN33+AU33+BB33+BI33+BP33</f>
        <v>3200</v>
      </c>
      <c r="CL33" s="10">
        <f t="shared" si="27"/>
        <v>-15745.000000000004</v>
      </c>
      <c r="CM33" s="40">
        <f t="shared" si="28"/>
        <v>0.16891000263921876</v>
      </c>
      <c r="CO33" s="10">
        <f>CH33+CA33+BT33+BM33+BF33+AY33+AR33+AK33+AD33+W33+P33+I33</f>
        <v>439089.27</v>
      </c>
      <c r="CQ33" s="10">
        <f t="shared" si="1"/>
        <v>18945.000000000004</v>
      </c>
      <c r="CR33" s="10">
        <f t="shared" si="1"/>
        <v>3200</v>
      </c>
      <c r="CS33" s="10">
        <f t="shared" si="29"/>
        <v>-15745.000000000004</v>
      </c>
      <c r="CT33" s="40">
        <f t="shared" si="30"/>
        <v>0.16891000263921876</v>
      </c>
      <c r="CV33" s="10">
        <f t="shared" si="31"/>
        <v>439089.27</v>
      </c>
      <c r="CX33" s="10">
        <f t="shared" si="32"/>
        <v>20.81</v>
      </c>
      <c r="CY33" s="10">
        <f t="shared" si="33"/>
        <v>20.81</v>
      </c>
      <c r="CZ33" s="10">
        <f t="shared" si="34"/>
        <v>23.931499999999996</v>
      </c>
      <c r="DA33" s="10">
        <f t="shared" si="35"/>
        <v>3223.9315000000001</v>
      </c>
    </row>
    <row r="34" spans="1:105" s="26" customFormat="1" ht="16.5" customHeight="1" x14ac:dyDescent="0.3">
      <c r="A34" s="35"/>
      <c r="B34" s="36" t="s">
        <v>19</v>
      </c>
      <c r="D34" s="5">
        <f>D35</f>
        <v>71714.91</v>
      </c>
      <c r="E34" s="5">
        <f>E35</f>
        <v>244395.51</v>
      </c>
      <c r="F34" s="5">
        <f t="shared" si="2"/>
        <v>172680.6</v>
      </c>
      <c r="G34" s="37">
        <f t="shared" si="3"/>
        <v>3.4078758517580234</v>
      </c>
      <c r="I34" s="5">
        <f>SUM(I35)</f>
        <v>93160.5</v>
      </c>
      <c r="K34" s="42">
        <v>58982.429999999993</v>
      </c>
      <c r="L34" s="5">
        <f>L35</f>
        <v>169717.29</v>
      </c>
      <c r="M34" s="5">
        <f t="shared" si="4"/>
        <v>110734.86000000002</v>
      </c>
      <c r="N34" s="37">
        <f t="shared" si="5"/>
        <v>2.877421123544758</v>
      </c>
      <c r="P34" s="5">
        <f>SUM(P35)</f>
        <v>82509.990000000005</v>
      </c>
      <c r="R34" s="5">
        <v>69516.76999999999</v>
      </c>
      <c r="S34" s="5">
        <f>S35</f>
        <v>145480.99</v>
      </c>
      <c r="T34" s="5">
        <f t="shared" si="6"/>
        <v>75964.22</v>
      </c>
      <c r="U34" s="37">
        <f t="shared" si="7"/>
        <v>2.0927466854400745</v>
      </c>
      <c r="W34" s="5">
        <f>SUM(W35)</f>
        <v>97306.04</v>
      </c>
      <c r="Y34" s="5">
        <f>Y35</f>
        <v>68820.849999999991</v>
      </c>
      <c r="Z34" s="5">
        <f>Z35</f>
        <v>184421.76000000001</v>
      </c>
      <c r="AA34" s="5">
        <f t="shared" si="8"/>
        <v>115600.91000000002</v>
      </c>
      <c r="AB34" s="37">
        <f t="shared" si="9"/>
        <v>2.6797367367592821</v>
      </c>
      <c r="AD34" s="5">
        <f>SUM(AD35)</f>
        <v>98644.38</v>
      </c>
      <c r="AF34" s="5">
        <v>54552.970000000008</v>
      </c>
      <c r="AG34" s="5">
        <f>AG35</f>
        <v>173580.6</v>
      </c>
      <c r="AH34" s="5">
        <f t="shared" si="10"/>
        <v>119027.63</v>
      </c>
      <c r="AI34" s="37">
        <f t="shared" si="11"/>
        <v>3.1818725909881711</v>
      </c>
      <c r="AK34" s="5">
        <f>SUM(AK35)</f>
        <v>79898.92</v>
      </c>
      <c r="AM34" s="5">
        <v>65312.51</v>
      </c>
      <c r="AN34" s="5">
        <f>AN35</f>
        <v>148641.87</v>
      </c>
      <c r="AO34" s="5">
        <f t="shared" si="12"/>
        <v>83329.359999999986</v>
      </c>
      <c r="AP34" s="37">
        <f t="shared" si="13"/>
        <v>2.2758560343186933</v>
      </c>
      <c r="AR34" s="5">
        <f>SUM(AR35)</f>
        <v>80758.52</v>
      </c>
      <c r="AT34" s="2">
        <v>72183.41</v>
      </c>
      <c r="AU34" s="5">
        <f>AU35</f>
        <v>189339.3</v>
      </c>
      <c r="AV34" s="5">
        <f t="shared" si="14"/>
        <v>117155.88999999998</v>
      </c>
      <c r="AW34" s="37">
        <f t="shared" si="15"/>
        <v>2.6230306936178267</v>
      </c>
      <c r="AY34" s="5">
        <f>SUM(AY35)</f>
        <v>105410.52</v>
      </c>
      <c r="BA34" s="5">
        <f>SUM(BA35)</f>
        <v>56214.789999999994</v>
      </c>
      <c r="BB34" s="5">
        <v>148636.17000000001</v>
      </c>
      <c r="BC34" s="5">
        <f t="shared" si="16"/>
        <v>92421.380000000019</v>
      </c>
      <c r="BD34" s="37">
        <f t="shared" si="17"/>
        <v>2.6440758739826302</v>
      </c>
      <c r="BF34" s="5">
        <f>SUM(BF35)</f>
        <v>70895.509999999995</v>
      </c>
      <c r="BH34" s="4">
        <f>SUM(BH35)</f>
        <v>95643.87</v>
      </c>
      <c r="BI34" s="5">
        <f>BI35</f>
        <v>166023</v>
      </c>
      <c r="BJ34" s="5">
        <f t="shared" si="18"/>
        <v>70379.13</v>
      </c>
      <c r="BK34" s="37">
        <f t="shared" si="19"/>
        <v>1.7358456950769559</v>
      </c>
      <c r="BM34" s="5">
        <f>SUM(BM35)</f>
        <v>91570.91</v>
      </c>
      <c r="BO34" s="5">
        <f>SUM(BO35)</f>
        <v>89349.77</v>
      </c>
      <c r="BP34" s="5">
        <f>BP35</f>
        <v>235442.57</v>
      </c>
      <c r="BQ34" s="5">
        <f t="shared" si="20"/>
        <v>146092.79999999999</v>
      </c>
      <c r="BR34" s="37">
        <f t="shared" si="21"/>
        <v>2.6350663241774432</v>
      </c>
      <c r="BT34" s="5">
        <f>SUM(BT35)</f>
        <v>184465.02</v>
      </c>
      <c r="BV34" s="5">
        <f>SUM(BV35)</f>
        <v>73151.450000000012</v>
      </c>
      <c r="BW34" s="5">
        <f>BW35</f>
        <v>167890.96</v>
      </c>
      <c r="BX34" s="5">
        <f t="shared" si="22"/>
        <v>94739.50999999998</v>
      </c>
      <c r="BY34" s="37">
        <f t="shared" si="23"/>
        <v>2.2951145876124119</v>
      </c>
      <c r="CA34" s="5">
        <f>SUM(CA35)</f>
        <v>159471.45000000001</v>
      </c>
      <c r="CC34" s="4">
        <f>SUM(CC35)</f>
        <v>46954.2</v>
      </c>
      <c r="CD34" s="5">
        <f>CD35</f>
        <v>130367.2</v>
      </c>
      <c r="CE34" s="5">
        <f t="shared" si="24"/>
        <v>83413</v>
      </c>
      <c r="CF34" s="37">
        <f t="shared" si="25"/>
        <v>2.7764757998219545</v>
      </c>
      <c r="CH34" s="5">
        <f>SUM(CH35)</f>
        <v>115118.69</v>
      </c>
      <c r="CJ34" s="5">
        <f t="shared" si="26"/>
        <v>822397.92999999993</v>
      </c>
      <c r="CK34" s="5">
        <f>CK35</f>
        <v>2103937.2200000002</v>
      </c>
      <c r="CL34" s="5">
        <f t="shared" si="27"/>
        <v>1281539.2900000003</v>
      </c>
      <c r="CM34" s="37">
        <f t="shared" si="28"/>
        <v>2.5582958604966337</v>
      </c>
      <c r="CO34" s="4">
        <f>CH34+CA34+BT34+BM34+BF34+AY34+AR34+AK34+AD34+W34+P34+I34</f>
        <v>1259210.4500000002</v>
      </c>
      <c r="CQ34" s="5">
        <f t="shared" si="1"/>
        <v>822397.92999999993</v>
      </c>
      <c r="CR34" s="5">
        <f t="shared" si="1"/>
        <v>2103937.2200000002</v>
      </c>
      <c r="CS34" s="5">
        <f t="shared" si="29"/>
        <v>1281539.2900000003</v>
      </c>
      <c r="CT34" s="37">
        <f t="shared" si="30"/>
        <v>2.5582958604966337</v>
      </c>
      <c r="CV34" s="5">
        <f t="shared" si="31"/>
        <v>1259210.45</v>
      </c>
      <c r="CX34" s="5">
        <f t="shared" si="32"/>
        <v>209455.42000000004</v>
      </c>
      <c r="CY34" s="5">
        <f t="shared" si="33"/>
        <v>209455.42000000004</v>
      </c>
      <c r="CZ34" s="5">
        <f t="shared" si="34"/>
        <v>240873.73300000004</v>
      </c>
      <c r="DA34" s="5">
        <f t="shared" si="35"/>
        <v>2344810.9530000002</v>
      </c>
    </row>
    <row r="35" spans="1:105" s="31" customFormat="1" ht="16.5" customHeight="1" x14ac:dyDescent="0.3">
      <c r="A35" s="29">
        <v>21</v>
      </c>
      <c r="B35" s="30" t="s">
        <v>20</v>
      </c>
      <c r="D35" s="3">
        <v>71714.91</v>
      </c>
      <c r="E35" s="3">
        <f>246533.51-2138</f>
        <v>244395.51</v>
      </c>
      <c r="F35" s="3">
        <f t="shared" si="2"/>
        <v>172680.6</v>
      </c>
      <c r="G35" s="32">
        <f t="shared" si="3"/>
        <v>3.4078758517580234</v>
      </c>
      <c r="I35" s="3">
        <v>93160.5</v>
      </c>
      <c r="K35" s="33">
        <v>58982.429999999993</v>
      </c>
      <c r="L35" s="3">
        <v>169717.29</v>
      </c>
      <c r="M35" s="3">
        <f t="shared" si="4"/>
        <v>110734.86000000002</v>
      </c>
      <c r="N35" s="32">
        <f t="shared" si="5"/>
        <v>2.877421123544758</v>
      </c>
      <c r="P35" s="3">
        <v>82509.990000000005</v>
      </c>
      <c r="R35" s="3">
        <v>69516.76999999999</v>
      </c>
      <c r="S35" s="3">
        <f>145885.99-405</f>
        <v>145480.99</v>
      </c>
      <c r="T35" s="3">
        <f t="shared" si="6"/>
        <v>75964.22</v>
      </c>
      <c r="U35" s="32">
        <f t="shared" si="7"/>
        <v>2.0927466854400745</v>
      </c>
      <c r="W35" s="3">
        <v>97306.04</v>
      </c>
      <c r="Y35" s="3">
        <v>68820.849999999991</v>
      </c>
      <c r="Z35" s="34">
        <v>184421.76000000001</v>
      </c>
      <c r="AA35" s="3">
        <f t="shared" si="8"/>
        <v>115600.91000000002</v>
      </c>
      <c r="AB35" s="32">
        <f t="shared" si="9"/>
        <v>2.6797367367592821</v>
      </c>
      <c r="AD35" s="3">
        <v>98644.38</v>
      </c>
      <c r="AF35" s="3">
        <v>54552.970000000008</v>
      </c>
      <c r="AG35" s="34">
        <f>174982.6-1402</f>
        <v>173580.6</v>
      </c>
      <c r="AH35" s="3">
        <f t="shared" si="10"/>
        <v>119027.63</v>
      </c>
      <c r="AI35" s="32">
        <f t="shared" si="11"/>
        <v>3.1818725909881711</v>
      </c>
      <c r="AK35" s="3">
        <v>79898.92</v>
      </c>
      <c r="AM35" s="3">
        <v>65312.51</v>
      </c>
      <c r="AN35" s="3">
        <f>150785.87-2144</f>
        <v>148641.87</v>
      </c>
      <c r="AO35" s="3">
        <f t="shared" si="12"/>
        <v>83329.359999999986</v>
      </c>
      <c r="AP35" s="32">
        <f t="shared" si="13"/>
        <v>2.2758560343186933</v>
      </c>
      <c r="AR35" s="3">
        <v>80758.52</v>
      </c>
      <c r="AT35" s="3">
        <v>72183.41</v>
      </c>
      <c r="AU35" s="3">
        <f>192133.3-2794</f>
        <v>189339.3</v>
      </c>
      <c r="AV35" s="3">
        <f t="shared" si="14"/>
        <v>117155.88999999998</v>
      </c>
      <c r="AW35" s="32">
        <f t="shared" si="15"/>
        <v>2.6230306936178267</v>
      </c>
      <c r="AY35" s="3">
        <v>105410.52</v>
      </c>
      <c r="BA35" s="3">
        <v>56214.789999999994</v>
      </c>
      <c r="BB35" s="3">
        <v>148636.17000000001</v>
      </c>
      <c r="BC35" s="3">
        <f t="shared" si="16"/>
        <v>92421.380000000019</v>
      </c>
      <c r="BD35" s="32">
        <f t="shared" si="17"/>
        <v>2.6440758739826302</v>
      </c>
      <c r="BF35" s="3">
        <v>70895.509999999995</v>
      </c>
      <c r="BH35" s="3">
        <v>95643.87</v>
      </c>
      <c r="BI35" s="3">
        <f>166343-320</f>
        <v>166023</v>
      </c>
      <c r="BJ35" s="3">
        <f t="shared" si="18"/>
        <v>70379.13</v>
      </c>
      <c r="BK35" s="32">
        <f t="shared" si="19"/>
        <v>1.7358456950769559</v>
      </c>
      <c r="BM35" s="3">
        <v>91570.91</v>
      </c>
      <c r="BO35" s="3">
        <v>89349.77</v>
      </c>
      <c r="BP35" s="3">
        <f>236234.57-792</f>
        <v>235442.57</v>
      </c>
      <c r="BQ35" s="3">
        <f t="shared" si="20"/>
        <v>146092.79999999999</v>
      </c>
      <c r="BR35" s="32">
        <f t="shared" si="21"/>
        <v>2.6350663241774432</v>
      </c>
      <c r="BT35" s="3">
        <f>189429.02-4964</f>
        <v>184465.02</v>
      </c>
      <c r="BV35" s="3">
        <v>73151.450000000012</v>
      </c>
      <c r="BW35" s="34">
        <f>169208.96-1318</f>
        <v>167890.96</v>
      </c>
      <c r="BX35" s="3">
        <f t="shared" si="22"/>
        <v>94739.50999999998</v>
      </c>
      <c r="BY35" s="32">
        <f t="shared" si="23"/>
        <v>2.2951145876124119</v>
      </c>
      <c r="CA35" s="3">
        <f>171360.17-11888.72</f>
        <v>159471.45000000001</v>
      </c>
      <c r="CC35" s="3">
        <v>46954.2</v>
      </c>
      <c r="CD35" s="3">
        <f>130833.2-466</f>
        <v>130367.2</v>
      </c>
      <c r="CE35" s="3">
        <f t="shared" si="24"/>
        <v>83413</v>
      </c>
      <c r="CF35" s="32">
        <f t="shared" si="25"/>
        <v>2.7764757998219545</v>
      </c>
      <c r="CH35" s="3">
        <f>117252.55-2133.86</f>
        <v>115118.69</v>
      </c>
      <c r="CJ35" s="3">
        <f t="shared" si="26"/>
        <v>822397.92999999993</v>
      </c>
      <c r="CK35" s="3">
        <f>+E35+L35+S35+Z35+AG35+AN35+AU35+BB35+BI35+BP35+BW35+CD35</f>
        <v>2103937.2200000002</v>
      </c>
      <c r="CL35" s="3">
        <f t="shared" si="27"/>
        <v>1281539.2900000003</v>
      </c>
      <c r="CM35" s="32">
        <f t="shared" si="28"/>
        <v>2.5582958604966337</v>
      </c>
      <c r="CO35" s="3">
        <f>CH35+CA35+BT35+BM35+BF35+AY35+AR35+AK35+AD35+W35+P35+I35</f>
        <v>1259210.4500000002</v>
      </c>
      <c r="CQ35" s="3">
        <f t="shared" si="1"/>
        <v>822397.92999999993</v>
      </c>
      <c r="CR35" s="3">
        <f t="shared" si="1"/>
        <v>2103937.2200000002</v>
      </c>
      <c r="CS35" s="3">
        <f t="shared" si="29"/>
        <v>1281539.2900000003</v>
      </c>
      <c r="CT35" s="32">
        <f t="shared" si="30"/>
        <v>2.5582958604966337</v>
      </c>
      <c r="CV35" s="3">
        <f t="shared" si="31"/>
        <v>1259210.45</v>
      </c>
      <c r="CX35" s="3">
        <f t="shared" si="32"/>
        <v>209455.42000000004</v>
      </c>
      <c r="CY35" s="3">
        <f t="shared" si="33"/>
        <v>209455.42000000004</v>
      </c>
      <c r="CZ35" s="3">
        <f t="shared" si="34"/>
        <v>240873.73300000004</v>
      </c>
      <c r="DA35" s="3">
        <f t="shared" si="35"/>
        <v>2344810.9530000002</v>
      </c>
    </row>
    <row r="36" spans="1:105" s="26" customFormat="1" ht="16.5" customHeight="1" x14ac:dyDescent="0.3">
      <c r="A36" s="35"/>
      <c r="B36" s="36" t="s">
        <v>21</v>
      </c>
      <c r="D36" s="5">
        <f>SUM(D37:D49)</f>
        <v>4342096.3499999996</v>
      </c>
      <c r="E36" s="5">
        <f>SUM(E37:E49)</f>
        <v>8966216.3599999994</v>
      </c>
      <c r="F36" s="5">
        <f t="shared" si="2"/>
        <v>4624120.01</v>
      </c>
      <c r="G36" s="37">
        <f t="shared" si="3"/>
        <v>2.0649510368419164</v>
      </c>
      <c r="I36" s="5">
        <f>SUM(I37:I49)</f>
        <v>10393062.57</v>
      </c>
      <c r="K36" s="42">
        <v>3984267.2500000014</v>
      </c>
      <c r="L36" s="5">
        <f>SUM(L37:L49)</f>
        <v>8982703.1000000015</v>
      </c>
      <c r="M36" s="5">
        <f t="shared" si="4"/>
        <v>4998435.8499999996</v>
      </c>
      <c r="N36" s="37">
        <f t="shared" si="5"/>
        <v>2.254543316591024</v>
      </c>
      <c r="P36" s="5">
        <f>SUM(P37:P49)</f>
        <v>9174045.1500000004</v>
      </c>
      <c r="R36" s="5">
        <v>4108270.8300000015</v>
      </c>
      <c r="S36" s="5">
        <f>SUM(S37:S49)</f>
        <v>12518599.65</v>
      </c>
      <c r="T36" s="5">
        <f t="shared" si="6"/>
        <v>8410328.8199999984</v>
      </c>
      <c r="U36" s="37">
        <f t="shared" si="7"/>
        <v>3.0471700060728462</v>
      </c>
      <c r="W36" s="5">
        <f>SUM(W37:W49)</f>
        <v>8712405.8599999994</v>
      </c>
      <c r="Y36" s="5">
        <f>SUM(Y37:Y49)</f>
        <v>5241429.67</v>
      </c>
      <c r="Z36" s="5">
        <f>SUM(Z37:Z49)</f>
        <v>7047141.9499999993</v>
      </c>
      <c r="AA36" s="5">
        <f t="shared" si="8"/>
        <v>1805712.2799999993</v>
      </c>
      <c r="AB36" s="37">
        <f t="shared" si="9"/>
        <v>1.3445075854657036</v>
      </c>
      <c r="AD36" s="5">
        <f>SUM(AD37:AD49)</f>
        <v>12426242.4</v>
      </c>
      <c r="AF36" s="5">
        <v>3604873.09</v>
      </c>
      <c r="AG36" s="5">
        <f>SUM(AG37:AG49)</f>
        <v>8069208.1200000001</v>
      </c>
      <c r="AH36" s="5">
        <f t="shared" si="10"/>
        <v>4464335.03</v>
      </c>
      <c r="AI36" s="37">
        <f t="shared" si="11"/>
        <v>2.2384166983254326</v>
      </c>
      <c r="AK36" s="5">
        <f>SUM(AK37:AK49)</f>
        <v>8731810.8599999994</v>
      </c>
      <c r="AM36" s="5">
        <v>4391069.99</v>
      </c>
      <c r="AN36" s="5">
        <f>SUM(AN37:AN49)</f>
        <v>7632770.1099999994</v>
      </c>
      <c r="AO36" s="5">
        <f t="shared" si="12"/>
        <v>3241700.1199999992</v>
      </c>
      <c r="AP36" s="37">
        <f t="shared" si="13"/>
        <v>1.7382483375082798</v>
      </c>
      <c r="AR36" s="5">
        <f>SUM(AR37:AR49)</f>
        <v>9689890.0600000005</v>
      </c>
      <c r="AT36" s="5">
        <f>SUM(AT37:AT49)</f>
        <v>4140607.5899999989</v>
      </c>
      <c r="AU36" s="5">
        <f>SUM(AU37:AU49)</f>
        <v>10353204.880000001</v>
      </c>
      <c r="AV36" s="5">
        <f t="shared" si="14"/>
        <v>6212597.2900000019</v>
      </c>
      <c r="AW36" s="37">
        <f t="shared" si="15"/>
        <v>2.5004071636742577</v>
      </c>
      <c r="AY36" s="5">
        <f>SUM(AY37:AY49)</f>
        <v>8146949.2400000012</v>
      </c>
      <c r="BA36" s="5">
        <f>SUM(BA37:BA49)</f>
        <v>5295241.8</v>
      </c>
      <c r="BB36" s="5">
        <f>7231447.07-259907.03</f>
        <v>6971540.04</v>
      </c>
      <c r="BC36" s="5">
        <f t="shared" si="16"/>
        <v>1676298.2400000002</v>
      </c>
      <c r="BD36" s="37">
        <f t="shared" si="17"/>
        <v>1.3165668921861133</v>
      </c>
      <c r="BF36" s="5">
        <f>SUM(BF37:BF49)</f>
        <v>13351094.039999999</v>
      </c>
      <c r="BH36" s="4">
        <f>SUM(BH37:BH49)</f>
        <v>5236176.5000000009</v>
      </c>
      <c r="BI36" s="4">
        <f>SUM(BI37:BI49)</f>
        <v>11496788.980000002</v>
      </c>
      <c r="BJ36" s="5">
        <f t="shared" si="18"/>
        <v>6260612.4800000014</v>
      </c>
      <c r="BK36" s="37">
        <f t="shared" si="19"/>
        <v>2.1956458075849814</v>
      </c>
      <c r="BM36" s="5">
        <f>SUM(BM37:BM49)</f>
        <v>8644211.1799999997</v>
      </c>
      <c r="BO36" s="4">
        <f>SUM(BO37:BO49)</f>
        <v>4752331.25</v>
      </c>
      <c r="BP36" s="4">
        <f>SUM(BP37:BP49)</f>
        <v>7081707.3900000006</v>
      </c>
      <c r="BQ36" s="5">
        <f t="shared" si="20"/>
        <v>2329376.1400000006</v>
      </c>
      <c r="BR36" s="37">
        <f t="shared" si="21"/>
        <v>1.4901544142151288</v>
      </c>
      <c r="BT36" s="5">
        <f>SUM(BT37:BT49)</f>
        <v>11895437.550000001</v>
      </c>
      <c r="BV36" s="4">
        <f>SUM(BV37:BV49)</f>
        <v>3278209.35</v>
      </c>
      <c r="BW36" s="4">
        <f>SUM(BW37:BW49)</f>
        <v>12549311.970000001</v>
      </c>
      <c r="BX36" s="5">
        <f t="shared" si="22"/>
        <v>9271102.620000001</v>
      </c>
      <c r="BY36" s="37">
        <f t="shared" si="23"/>
        <v>3.8280996209104217</v>
      </c>
      <c r="CA36" s="5">
        <f>SUM(CA37:CA49)</f>
        <v>6642342.1000000006</v>
      </c>
      <c r="CC36" s="4">
        <f>SUM(CC37:CC49)</f>
        <v>3087793.1900000004</v>
      </c>
      <c r="CD36" s="4">
        <f>SUM(CD37:CD49)</f>
        <v>8961742.1899999995</v>
      </c>
      <c r="CE36" s="5">
        <f t="shared" si="24"/>
        <v>5873948.9999999991</v>
      </c>
      <c r="CF36" s="37">
        <f t="shared" si="25"/>
        <v>2.902312958984147</v>
      </c>
      <c r="CH36" s="5">
        <f>SUM(CH37:CH49)</f>
        <v>12608355.300000001</v>
      </c>
      <c r="CJ36" s="5">
        <f t="shared" si="26"/>
        <v>51462366.859999999</v>
      </c>
      <c r="CK36" s="4">
        <f>SUM(CK37:CK49)</f>
        <v>110630934.73999996</v>
      </c>
      <c r="CL36" s="5">
        <f t="shared" si="27"/>
        <v>59168567.879999965</v>
      </c>
      <c r="CM36" s="37">
        <f t="shared" si="28"/>
        <v>2.149744395568983</v>
      </c>
      <c r="CO36" s="4">
        <f>CH36+CA36+BT36+BM36+BF36+AY36+AR36+AK36+AD36+W36+P36+I36</f>
        <v>120415846.31</v>
      </c>
      <c r="CQ36" s="5">
        <f t="shared" si="1"/>
        <v>51462366.859999999</v>
      </c>
      <c r="CR36" s="5">
        <f t="shared" si="1"/>
        <v>110630934.74000001</v>
      </c>
      <c r="CS36" s="5">
        <f t="shared" si="29"/>
        <v>59168567.88000001</v>
      </c>
      <c r="CT36" s="37">
        <f t="shared" si="30"/>
        <v>2.1497443955689839</v>
      </c>
      <c r="CV36" s="5">
        <f t="shared" si="31"/>
        <v>120415846.31</v>
      </c>
      <c r="CX36" s="5">
        <f t="shared" si="32"/>
        <v>11118333.789999999</v>
      </c>
      <c r="CY36" s="5">
        <f t="shared" si="33"/>
        <v>11118333.789999999</v>
      </c>
      <c r="CZ36" s="5">
        <f t="shared" si="34"/>
        <v>12786083.858499998</v>
      </c>
      <c r="DA36" s="5">
        <f t="shared" si="35"/>
        <v>123417018.59850001</v>
      </c>
    </row>
    <row r="37" spans="1:105" s="31" customFormat="1" ht="16.5" customHeight="1" x14ac:dyDescent="0.3">
      <c r="A37" s="29">
        <v>22</v>
      </c>
      <c r="B37" s="30" t="s">
        <v>22</v>
      </c>
      <c r="D37" s="3">
        <v>549857.11</v>
      </c>
      <c r="E37" s="3">
        <f>836123.81-121690</f>
        <v>714433.81</v>
      </c>
      <c r="F37" s="3">
        <f t="shared" si="2"/>
        <v>164576.70000000007</v>
      </c>
      <c r="G37" s="32">
        <f t="shared" si="3"/>
        <v>1.2993081238869495</v>
      </c>
      <c r="I37" s="3">
        <v>834259.1100000001</v>
      </c>
      <c r="K37" s="33">
        <v>272246.63</v>
      </c>
      <c r="L37" s="44">
        <f>584765-84043.9</f>
        <v>500721.1</v>
      </c>
      <c r="M37" s="3">
        <f t="shared" si="4"/>
        <v>228474.46999999997</v>
      </c>
      <c r="N37" s="32">
        <f t="shared" si="5"/>
        <v>1.8392187260499788</v>
      </c>
      <c r="P37" s="3">
        <v>258071.69999999998</v>
      </c>
      <c r="R37" s="3">
        <v>498821.86</v>
      </c>
      <c r="S37" s="3">
        <f>816197.25-68849.35</f>
        <v>747347.9</v>
      </c>
      <c r="T37" s="3">
        <f t="shared" si="6"/>
        <v>248526.04000000004</v>
      </c>
      <c r="U37" s="32">
        <f t="shared" si="7"/>
        <v>1.4982260400536578</v>
      </c>
      <c r="W37" s="3">
        <v>510508.92000000004</v>
      </c>
      <c r="Y37" s="3">
        <v>300037.21000000002</v>
      </c>
      <c r="Z37" s="34">
        <f>296771.25-2501</f>
        <v>294270.25</v>
      </c>
      <c r="AA37" s="3">
        <f t="shared" si="8"/>
        <v>-5766.960000000021</v>
      </c>
      <c r="AB37" s="32">
        <f t="shared" si="9"/>
        <v>0.98077918402187514</v>
      </c>
      <c r="AD37" s="3">
        <v>352308.4</v>
      </c>
      <c r="AF37" s="3">
        <v>114574.19</v>
      </c>
      <c r="AG37" s="34">
        <f>267176.5-1377.5</f>
        <v>265799</v>
      </c>
      <c r="AH37" s="3">
        <f t="shared" si="10"/>
        <v>151224.81</v>
      </c>
      <c r="AI37" s="32">
        <f t="shared" si="11"/>
        <v>2.3198854820618848</v>
      </c>
      <c r="AK37" s="3">
        <v>114112.5</v>
      </c>
      <c r="AM37" s="3">
        <v>89697.11</v>
      </c>
      <c r="AN37" s="3">
        <f>212951.45-24009.65</f>
        <v>188941.80000000002</v>
      </c>
      <c r="AO37" s="3">
        <f t="shared" si="12"/>
        <v>99244.690000000017</v>
      </c>
      <c r="AP37" s="32">
        <f t="shared" si="13"/>
        <v>2.1064424483687381</v>
      </c>
      <c r="AR37" s="3">
        <v>107252</v>
      </c>
      <c r="AT37" s="3">
        <v>229729.61000000002</v>
      </c>
      <c r="AU37" s="3">
        <f>347893.4-1677</f>
        <v>346216.4</v>
      </c>
      <c r="AV37" s="3">
        <f t="shared" si="14"/>
        <v>116486.79000000001</v>
      </c>
      <c r="AW37" s="32">
        <f t="shared" si="15"/>
        <v>1.5070604089738366</v>
      </c>
      <c r="AY37" s="3">
        <v>255380.71</v>
      </c>
      <c r="BA37" s="3">
        <v>55772.810000000005</v>
      </c>
      <c r="BB37" s="3">
        <f>109209-1860</f>
        <v>107349</v>
      </c>
      <c r="BC37" s="3">
        <f t="shared" si="16"/>
        <v>51576.189999999995</v>
      </c>
      <c r="BD37" s="32">
        <f t="shared" si="17"/>
        <v>1.9247550912353169</v>
      </c>
      <c r="BF37" s="3">
        <v>68298.600000000006</v>
      </c>
      <c r="BH37" s="3">
        <v>58468.97</v>
      </c>
      <c r="BI37" s="3">
        <f>207099.2-358</f>
        <v>206741.2</v>
      </c>
      <c r="BJ37" s="3">
        <f t="shared" si="18"/>
        <v>148272.23000000001</v>
      </c>
      <c r="BK37" s="32">
        <f t="shared" si="19"/>
        <v>3.535913151882101</v>
      </c>
      <c r="BM37" s="3">
        <v>45734.720000000001</v>
      </c>
      <c r="BO37" s="3">
        <v>72226.33</v>
      </c>
      <c r="BP37" s="3">
        <f>117575.45-1991</f>
        <v>115584.45</v>
      </c>
      <c r="BQ37" s="3">
        <f t="shared" si="20"/>
        <v>43358.119999999995</v>
      </c>
      <c r="BR37" s="32">
        <f t="shared" si="21"/>
        <v>1.6003090562679843</v>
      </c>
      <c r="BT37" s="3">
        <f>134844-782</f>
        <v>134062</v>
      </c>
      <c r="BV37" s="3">
        <v>84897.38</v>
      </c>
      <c r="BW37" s="34">
        <f>55800-462</f>
        <v>55338</v>
      </c>
      <c r="BX37" s="3">
        <f t="shared" si="22"/>
        <v>-29559.380000000005</v>
      </c>
      <c r="BY37" s="32">
        <f t="shared" si="23"/>
        <v>0.65182223526803773</v>
      </c>
      <c r="CA37" s="3">
        <f>168097-3620.8</f>
        <v>164476.20000000001</v>
      </c>
      <c r="CC37" s="3">
        <v>42694.78</v>
      </c>
      <c r="CD37" s="3">
        <f>54042.2-72</f>
        <v>53970.2</v>
      </c>
      <c r="CE37" s="3">
        <f t="shared" si="24"/>
        <v>11275.419999999998</v>
      </c>
      <c r="CF37" s="32">
        <f t="shared" si="25"/>
        <v>1.2640936432978458</v>
      </c>
      <c r="CH37" s="3">
        <f>48328-674</f>
        <v>47654</v>
      </c>
      <c r="CJ37" s="3">
        <f t="shared" si="26"/>
        <v>2369023.9900000002</v>
      </c>
      <c r="CK37" s="3">
        <f t="shared" ref="CK37:CK58" si="37">+E37+L37+S37+Z37+AG37+AN37+AU37+BB37+BI37+BP37+BW37+CD37</f>
        <v>3596713.1100000003</v>
      </c>
      <c r="CL37" s="3">
        <f t="shared" si="27"/>
        <v>1227689.1200000001</v>
      </c>
      <c r="CM37" s="32">
        <f t="shared" si="28"/>
        <v>1.5182257018849352</v>
      </c>
      <c r="CO37" s="3">
        <f t="shared" ref="CO37:CO45" si="38">CH37+CA37+BT37+BM37+BF37+AY37+AR37+AK37+AD37+W37+P37+I37</f>
        <v>2892118.86</v>
      </c>
      <c r="CQ37" s="3">
        <f t="shared" si="1"/>
        <v>2369023.9900000002</v>
      </c>
      <c r="CR37" s="3">
        <f t="shared" si="1"/>
        <v>3596713.1100000003</v>
      </c>
      <c r="CS37" s="3">
        <f t="shared" si="29"/>
        <v>1227689.1200000001</v>
      </c>
      <c r="CT37" s="32">
        <f t="shared" si="30"/>
        <v>1.5182257018849352</v>
      </c>
      <c r="CV37" s="3">
        <f t="shared" si="31"/>
        <v>2892118.8600000003</v>
      </c>
      <c r="CX37" s="3">
        <f t="shared" si="32"/>
        <v>199818.49000000002</v>
      </c>
      <c r="CY37" s="3">
        <f t="shared" si="33"/>
        <v>199818.49000000002</v>
      </c>
      <c r="CZ37" s="3">
        <f t="shared" si="34"/>
        <v>229791.2635</v>
      </c>
      <c r="DA37" s="3">
        <f t="shared" si="35"/>
        <v>3826504.3735000002</v>
      </c>
    </row>
    <row r="38" spans="1:105" s="31" customFormat="1" ht="16.5" customHeight="1" x14ac:dyDescent="0.3">
      <c r="A38" s="29">
        <v>23</v>
      </c>
      <c r="B38" s="30" t="s">
        <v>23</v>
      </c>
      <c r="D38" s="3">
        <v>1694428.3199999998</v>
      </c>
      <c r="E38" s="3">
        <f>2776927.52-73898.89</f>
        <v>2703028.63</v>
      </c>
      <c r="F38" s="3">
        <f t="shared" si="2"/>
        <v>1008600.31</v>
      </c>
      <c r="G38" s="32">
        <f t="shared" si="3"/>
        <v>1.5952451916053907</v>
      </c>
      <c r="I38" s="3">
        <v>4172107.48</v>
      </c>
      <c r="K38" s="33">
        <v>2075175.6499999994</v>
      </c>
      <c r="L38" s="3">
        <f>3097484.57-8859.25</f>
        <v>3088625.32</v>
      </c>
      <c r="M38" s="3">
        <f t="shared" si="4"/>
        <v>1013449.6700000004</v>
      </c>
      <c r="N38" s="32">
        <f t="shared" si="5"/>
        <v>1.4883681388609205</v>
      </c>
      <c r="P38" s="3">
        <v>4713993.9400000004</v>
      </c>
      <c r="R38" s="3">
        <v>1960821.4000000001</v>
      </c>
      <c r="S38" s="3">
        <f>6255281.08-14632.36</f>
        <v>6240648.7199999997</v>
      </c>
      <c r="T38" s="3">
        <f t="shared" si="6"/>
        <v>4279827.3199999994</v>
      </c>
      <c r="U38" s="32">
        <f t="shared" si="7"/>
        <v>3.1826706501673225</v>
      </c>
      <c r="W38" s="3">
        <v>4652103.0799999991</v>
      </c>
      <c r="Y38" s="3">
        <v>3455282.1799999997</v>
      </c>
      <c r="Z38" s="34">
        <f>2583489.14-1978</f>
        <v>2581511.14</v>
      </c>
      <c r="AA38" s="3">
        <f t="shared" si="8"/>
        <v>-873771.03999999957</v>
      </c>
      <c r="AB38" s="32">
        <f t="shared" si="9"/>
        <v>0.74712020770471499</v>
      </c>
      <c r="AD38" s="3">
        <v>8864556.4400000013</v>
      </c>
      <c r="AF38" s="3">
        <v>2112551.17</v>
      </c>
      <c r="AG38" s="34">
        <f>3572310.68-54523.8</f>
        <v>3517786.8800000004</v>
      </c>
      <c r="AH38" s="3">
        <f t="shared" si="10"/>
        <v>1405235.7100000004</v>
      </c>
      <c r="AI38" s="32">
        <f t="shared" si="11"/>
        <v>1.6651842236796568</v>
      </c>
      <c r="AK38" s="3">
        <v>5459224.7200000007</v>
      </c>
      <c r="AM38" s="3">
        <v>2768658.2699999996</v>
      </c>
      <c r="AN38" s="3">
        <f>3717375.37-258099.74</f>
        <v>3459275.63</v>
      </c>
      <c r="AO38" s="3">
        <f t="shared" si="12"/>
        <v>690617.36000000034</v>
      </c>
      <c r="AP38" s="32">
        <f t="shared" si="13"/>
        <v>1.2494411706505044</v>
      </c>
      <c r="AR38" s="3">
        <v>5931491.46</v>
      </c>
      <c r="AT38" s="3">
        <v>2456038.6699999995</v>
      </c>
      <c r="AU38" s="3">
        <f>6028584.31-4293</f>
        <v>6024291.3099999996</v>
      </c>
      <c r="AV38" s="3">
        <f t="shared" si="14"/>
        <v>3568252.64</v>
      </c>
      <c r="AW38" s="32">
        <f t="shared" si="15"/>
        <v>2.4528487208224621</v>
      </c>
      <c r="AY38" s="3">
        <v>3996207.6</v>
      </c>
      <c r="BA38" s="3">
        <v>3454300.1500000004</v>
      </c>
      <c r="BB38" s="3">
        <f>2392466-74094.92</f>
        <v>2318371.08</v>
      </c>
      <c r="BC38" s="3">
        <f t="shared" si="16"/>
        <v>-1135929.0700000003</v>
      </c>
      <c r="BD38" s="32">
        <f t="shared" si="17"/>
        <v>0.67115507608683045</v>
      </c>
      <c r="BF38" s="3">
        <v>8607561.8499999996</v>
      </c>
      <c r="BH38" s="3">
        <v>3631759.8400000008</v>
      </c>
      <c r="BI38" s="3">
        <f>7241004.78-67781.47</f>
        <v>7173223.3100000005</v>
      </c>
      <c r="BJ38" s="3">
        <f t="shared" si="18"/>
        <v>3541463.4699999997</v>
      </c>
      <c r="BK38" s="32">
        <f t="shared" si="19"/>
        <v>1.9751370206241388</v>
      </c>
      <c r="BM38" s="3">
        <v>6944208.3899999997</v>
      </c>
      <c r="BO38" s="3">
        <v>3134753.5799999996</v>
      </c>
      <c r="BP38" s="3">
        <f>2886187.18-745871.79</f>
        <v>2140315.39</v>
      </c>
      <c r="BQ38" s="3">
        <f t="shared" si="20"/>
        <v>-994438.18999999948</v>
      </c>
      <c r="BR38" s="32">
        <f t="shared" si="21"/>
        <v>0.6827699005291511</v>
      </c>
      <c r="BT38" s="3">
        <f>6212524.7-168193.8</f>
        <v>6044330.9000000004</v>
      </c>
      <c r="BV38" s="3">
        <v>1894410.6400000001</v>
      </c>
      <c r="BW38" s="34">
        <f>14456112.95-5857057.54</f>
        <v>8599055.4100000001</v>
      </c>
      <c r="BX38" s="3">
        <f t="shared" si="22"/>
        <v>6704644.7699999996</v>
      </c>
      <c r="BY38" s="32">
        <f t="shared" si="23"/>
        <v>4.5391718291869392</v>
      </c>
      <c r="CA38" s="3">
        <f>3802706.74-598836.31</f>
        <v>3203870.43</v>
      </c>
      <c r="CC38" s="3">
        <v>2043838.1300000004</v>
      </c>
      <c r="CD38" s="3">
        <f>4981873.76-7460</f>
        <v>4974413.76</v>
      </c>
      <c r="CE38" s="3">
        <f t="shared" si="24"/>
        <v>2930575.6299999994</v>
      </c>
      <c r="CF38" s="32">
        <f t="shared" si="25"/>
        <v>2.4338589670993165</v>
      </c>
      <c r="CH38" s="3">
        <f>14995791.61-5862927.76</f>
        <v>9132863.8499999996</v>
      </c>
      <c r="CJ38" s="3">
        <f t="shared" si="26"/>
        <v>30682017.999999996</v>
      </c>
      <c r="CK38" s="3">
        <f t="shared" si="37"/>
        <v>52820546.579999991</v>
      </c>
      <c r="CL38" s="3">
        <f t="shared" si="27"/>
        <v>22138528.579999994</v>
      </c>
      <c r="CM38" s="32">
        <f t="shared" si="28"/>
        <v>1.7215473434635231</v>
      </c>
      <c r="CO38" s="3">
        <f t="shared" si="38"/>
        <v>71722520.140000001</v>
      </c>
      <c r="CQ38" s="3">
        <f t="shared" si="1"/>
        <v>30682017.999999996</v>
      </c>
      <c r="CR38" s="3">
        <f t="shared" si="1"/>
        <v>52820546.579999991</v>
      </c>
      <c r="CS38" s="3">
        <f t="shared" si="29"/>
        <v>22138528.579999994</v>
      </c>
      <c r="CT38" s="32">
        <f t="shared" si="30"/>
        <v>1.7215473434635231</v>
      </c>
      <c r="CV38" s="3">
        <f t="shared" si="31"/>
        <v>71722520.140000001</v>
      </c>
      <c r="CX38" s="3">
        <f t="shared" si="32"/>
        <v>7073002.3499999996</v>
      </c>
      <c r="CY38" s="3">
        <f t="shared" si="33"/>
        <v>7073002.3499999996</v>
      </c>
      <c r="CZ38" s="3">
        <f t="shared" si="34"/>
        <v>8133952.7024999987</v>
      </c>
      <c r="DA38" s="3">
        <f t="shared" si="35"/>
        <v>60954499.282499991</v>
      </c>
    </row>
    <row r="39" spans="1:105" s="31" customFormat="1" ht="16.5" customHeight="1" x14ac:dyDescent="0.3">
      <c r="A39" s="29">
        <v>24</v>
      </c>
      <c r="B39" s="30" t="s">
        <v>24</v>
      </c>
      <c r="D39" s="3">
        <v>0</v>
      </c>
      <c r="E39" s="3">
        <v>0</v>
      </c>
      <c r="F39" s="3">
        <f t="shared" si="2"/>
        <v>0</v>
      </c>
      <c r="G39" s="32">
        <f t="shared" si="3"/>
        <v>0</v>
      </c>
      <c r="I39" s="3">
        <v>0</v>
      </c>
      <c r="K39" s="33"/>
      <c r="L39" s="3"/>
      <c r="M39" s="3">
        <f t="shared" si="4"/>
        <v>0</v>
      </c>
      <c r="N39" s="32">
        <f t="shared" si="5"/>
        <v>0</v>
      </c>
      <c r="P39" s="3">
        <v>0</v>
      </c>
      <c r="R39" s="3"/>
      <c r="S39" s="3"/>
      <c r="T39" s="3">
        <f t="shared" si="6"/>
        <v>0</v>
      </c>
      <c r="U39" s="32">
        <f t="shared" si="7"/>
        <v>0</v>
      </c>
      <c r="W39" s="3">
        <v>0</v>
      </c>
      <c r="Y39" s="3"/>
      <c r="Z39" s="34"/>
      <c r="AA39" s="3">
        <f>Z39-Y39</f>
        <v>0</v>
      </c>
      <c r="AB39" s="32">
        <f>IFERROR(Z39/Y39,0)</f>
        <v>0</v>
      </c>
      <c r="AD39" s="3">
        <v>0</v>
      </c>
      <c r="AF39" s="3"/>
      <c r="AG39" s="34"/>
      <c r="AH39" s="3">
        <f t="shared" si="10"/>
        <v>0</v>
      </c>
      <c r="AI39" s="32">
        <f t="shared" si="11"/>
        <v>0</v>
      </c>
      <c r="AK39" s="3">
        <v>0</v>
      </c>
      <c r="AM39" s="3"/>
      <c r="AN39" s="3">
        <v>0</v>
      </c>
      <c r="AO39" s="3">
        <f t="shared" si="12"/>
        <v>0</v>
      </c>
      <c r="AP39" s="32">
        <f t="shared" si="13"/>
        <v>0</v>
      </c>
      <c r="AR39" s="3">
        <v>0</v>
      </c>
      <c r="AT39" s="3">
        <v>0</v>
      </c>
      <c r="AU39" s="3">
        <v>0</v>
      </c>
      <c r="AV39" s="3">
        <f t="shared" si="14"/>
        <v>0</v>
      </c>
      <c r="AW39" s="32">
        <f t="shared" si="15"/>
        <v>0</v>
      </c>
      <c r="AY39" s="3"/>
      <c r="BA39" s="3">
        <v>0</v>
      </c>
      <c r="BB39" s="3">
        <v>0</v>
      </c>
      <c r="BC39" s="3">
        <f t="shared" si="16"/>
        <v>0</v>
      </c>
      <c r="BD39" s="32">
        <f t="shared" si="17"/>
        <v>0</v>
      </c>
      <c r="BF39" s="3"/>
      <c r="BH39" s="3">
        <v>0</v>
      </c>
      <c r="BI39" s="3"/>
      <c r="BJ39" s="3">
        <f t="shared" si="18"/>
        <v>0</v>
      </c>
      <c r="BK39" s="32">
        <f t="shared" si="19"/>
        <v>0</v>
      </c>
      <c r="BM39" s="3"/>
      <c r="BO39" s="3">
        <v>0</v>
      </c>
      <c r="BP39" s="3"/>
      <c r="BQ39" s="3">
        <f t="shared" si="20"/>
        <v>0</v>
      </c>
      <c r="BR39" s="32">
        <f t="shared" si="21"/>
        <v>0</v>
      </c>
      <c r="BT39" s="3"/>
      <c r="BV39" s="3">
        <v>0</v>
      </c>
      <c r="BW39" s="34">
        <v>0</v>
      </c>
      <c r="BX39" s="3">
        <f t="shared" si="22"/>
        <v>0</v>
      </c>
      <c r="BY39" s="32">
        <f t="shared" si="23"/>
        <v>0</v>
      </c>
      <c r="CA39" s="3"/>
      <c r="CC39" s="3">
        <v>0</v>
      </c>
      <c r="CD39" s="3"/>
      <c r="CE39" s="3">
        <f t="shared" si="24"/>
        <v>0</v>
      </c>
      <c r="CF39" s="32">
        <f t="shared" si="25"/>
        <v>0</v>
      </c>
      <c r="CH39" s="3"/>
      <c r="CJ39" s="3">
        <f t="shared" si="26"/>
        <v>0</v>
      </c>
      <c r="CK39" s="3">
        <f t="shared" si="37"/>
        <v>0</v>
      </c>
      <c r="CL39" s="3">
        <f t="shared" si="27"/>
        <v>0</v>
      </c>
      <c r="CM39" s="32">
        <f t="shared" si="28"/>
        <v>0</v>
      </c>
      <c r="CO39" s="3">
        <f>CH39+CA39+BT39+BM39+BF39+AY39+AR39+AK39+AD39+W39+P39+I39</f>
        <v>0</v>
      </c>
      <c r="CQ39" s="3">
        <f t="shared" si="1"/>
        <v>0</v>
      </c>
      <c r="CR39" s="3">
        <f>+E39+L39+S39+Z39+AG39+AN39+AU39+BB39+BI39+BP39+BW39+CD39</f>
        <v>0</v>
      </c>
      <c r="CS39" s="3">
        <f t="shared" si="29"/>
        <v>0</v>
      </c>
      <c r="CT39" s="32">
        <f t="shared" si="30"/>
        <v>0</v>
      </c>
      <c r="CV39" s="3">
        <f>+I39+P39+W39+AD39+AK39+AR39+AY39+BF39+BM39+BT39+CA39+CH39</f>
        <v>0</v>
      </c>
      <c r="CX39" s="3">
        <f t="shared" si="32"/>
        <v>0</v>
      </c>
      <c r="CY39" s="3">
        <f t="shared" si="33"/>
        <v>0</v>
      </c>
      <c r="CZ39" s="3">
        <f t="shared" si="34"/>
        <v>0</v>
      </c>
      <c r="DA39" s="3">
        <f t="shared" si="35"/>
        <v>0</v>
      </c>
    </row>
    <row r="40" spans="1:105" s="31" customFormat="1" ht="16.5" customHeight="1" x14ac:dyDescent="0.3">
      <c r="A40" s="29">
        <v>25</v>
      </c>
      <c r="B40" s="30" t="s">
        <v>25</v>
      </c>
      <c r="D40" s="3">
        <v>0</v>
      </c>
      <c r="E40" s="3">
        <v>1748881.13</v>
      </c>
      <c r="F40" s="3">
        <f t="shared" si="2"/>
        <v>1748881.13</v>
      </c>
      <c r="G40" s="32">
        <f t="shared" si="3"/>
        <v>0</v>
      </c>
      <c r="I40" s="3">
        <v>2902889.76</v>
      </c>
      <c r="K40" s="33"/>
      <c r="L40" s="3">
        <f>2795407.79-1361539.64</f>
        <v>1433868.1500000001</v>
      </c>
      <c r="M40" s="3">
        <f t="shared" si="4"/>
        <v>1433868.1500000001</v>
      </c>
      <c r="N40" s="32">
        <f t="shared" si="5"/>
        <v>0</v>
      </c>
      <c r="P40" s="3">
        <v>1981079.18</v>
      </c>
      <c r="R40" s="3"/>
      <c r="S40" s="3">
        <v>2236301.06</v>
      </c>
      <c r="T40" s="3">
        <f t="shared" si="6"/>
        <v>2236301.06</v>
      </c>
      <c r="U40" s="32">
        <f t="shared" si="7"/>
        <v>0</v>
      </c>
      <c r="W40" s="3">
        <v>1223711.1899999995</v>
      </c>
      <c r="Y40" s="3"/>
      <c r="Z40" s="34">
        <f>2769110.76-1316856.15</f>
        <v>1452254.6099999999</v>
      </c>
      <c r="AA40" s="3">
        <f>Z40-Y40</f>
        <v>1452254.6099999999</v>
      </c>
      <c r="AB40" s="32">
        <f>IFERROR(Z40/Y40,0)</f>
        <v>0</v>
      </c>
      <c r="AD40" s="3">
        <v>1529570</v>
      </c>
      <c r="AF40" s="3"/>
      <c r="AG40" s="34">
        <v>1638344.55</v>
      </c>
      <c r="AH40" s="3">
        <f t="shared" si="10"/>
        <v>1638344.55</v>
      </c>
      <c r="AI40" s="32">
        <f t="shared" si="11"/>
        <v>0</v>
      </c>
      <c r="AK40" s="3">
        <v>1295291.5999999996</v>
      </c>
      <c r="AM40" s="3"/>
      <c r="AN40" s="3">
        <v>1485129.56</v>
      </c>
      <c r="AO40" s="3">
        <f t="shared" si="12"/>
        <v>1485129.56</v>
      </c>
      <c r="AP40" s="32">
        <f t="shared" si="13"/>
        <v>0</v>
      </c>
      <c r="AR40" s="3">
        <v>1402834.94</v>
      </c>
      <c r="AT40" s="3">
        <v>0</v>
      </c>
      <c r="AU40" s="3">
        <v>1532880.44</v>
      </c>
      <c r="AV40" s="3">
        <f t="shared" si="14"/>
        <v>1532880.44</v>
      </c>
      <c r="AW40" s="32">
        <f t="shared" si="15"/>
        <v>0</v>
      </c>
      <c r="AY40" s="3">
        <v>1454672.49</v>
      </c>
      <c r="BA40" s="3">
        <v>0</v>
      </c>
      <c r="BB40" s="3">
        <v>1446980.3</v>
      </c>
      <c r="BC40" s="3">
        <f t="shared" si="16"/>
        <v>1446980.3</v>
      </c>
      <c r="BD40" s="32">
        <f t="shared" si="17"/>
        <v>0</v>
      </c>
      <c r="BF40" s="3">
        <v>1395859.14</v>
      </c>
      <c r="BH40" s="3">
        <v>0</v>
      </c>
      <c r="BI40" s="3">
        <v>1576407.43</v>
      </c>
      <c r="BJ40" s="3">
        <f t="shared" si="18"/>
        <v>1576407.43</v>
      </c>
      <c r="BK40" s="32">
        <f t="shared" si="19"/>
        <v>0</v>
      </c>
      <c r="BM40" s="3">
        <v>1999.67</v>
      </c>
      <c r="BO40" s="3">
        <v>0</v>
      </c>
      <c r="BP40" s="3">
        <f>1531278.34-24752.82</f>
        <v>1506525.52</v>
      </c>
      <c r="BQ40" s="3">
        <f t="shared" si="20"/>
        <v>1506525.52</v>
      </c>
      <c r="BR40" s="32">
        <f t="shared" si="21"/>
        <v>0</v>
      </c>
      <c r="BT40" s="3">
        <v>2595736.27</v>
      </c>
      <c r="BV40" s="3">
        <v>0</v>
      </c>
      <c r="BW40" s="34">
        <v>1601864.98</v>
      </c>
      <c r="BX40" s="3">
        <f t="shared" si="22"/>
        <v>1601864.98</v>
      </c>
      <c r="BY40" s="32">
        <f t="shared" si="23"/>
        <v>0</v>
      </c>
      <c r="CA40" s="3">
        <v>1373567.35</v>
      </c>
      <c r="CC40" s="3">
        <v>0</v>
      </c>
      <c r="CD40" s="3">
        <v>1557373.41</v>
      </c>
      <c r="CE40" s="3">
        <f t="shared" si="24"/>
        <v>1557373.41</v>
      </c>
      <c r="CF40" s="32">
        <f t="shared" si="25"/>
        <v>0</v>
      </c>
      <c r="CH40" s="3">
        <f>2762136.98-1373567.35</f>
        <v>1388569.63</v>
      </c>
      <c r="CJ40" s="3">
        <f t="shared" si="26"/>
        <v>0</v>
      </c>
      <c r="CK40" s="3">
        <f t="shared" si="37"/>
        <v>19216811.140000001</v>
      </c>
      <c r="CL40" s="3">
        <f t="shared" si="27"/>
        <v>19216811.140000001</v>
      </c>
      <c r="CM40" s="32">
        <f t="shared" si="28"/>
        <v>0</v>
      </c>
      <c r="CO40" s="3">
        <f>CH40+CA40+BT40+BM40+BF40+AY40+AR40+AK40+AD40+W40+P40+I40</f>
        <v>18545781.219999999</v>
      </c>
      <c r="CQ40" s="3">
        <f t="shared" si="1"/>
        <v>0</v>
      </c>
      <c r="CR40" s="3">
        <f>+E40+L40+S40+Z40+AG40+AN40+AU40+BB40+BI40+BP40+BW40+CD40</f>
        <v>19216811.140000001</v>
      </c>
      <c r="CS40" s="3">
        <f t="shared" si="29"/>
        <v>19216811.140000001</v>
      </c>
      <c r="CT40" s="32">
        <f t="shared" si="30"/>
        <v>0</v>
      </c>
      <c r="CV40" s="3">
        <f>+I40+P40+W40+AD40+AK40+AR40+AY40+BF40+BM40+BT40+CA40+CH40</f>
        <v>18545781.219999999</v>
      </c>
      <c r="CX40" s="3">
        <f t="shared" si="32"/>
        <v>0</v>
      </c>
      <c r="CY40" s="3">
        <f t="shared" si="33"/>
        <v>0</v>
      </c>
      <c r="CZ40" s="3">
        <f t="shared" si="34"/>
        <v>0</v>
      </c>
      <c r="DA40" s="3">
        <f t="shared" si="35"/>
        <v>19216811.140000001</v>
      </c>
    </row>
    <row r="41" spans="1:105" s="31" customFormat="1" ht="16.5" customHeight="1" x14ac:dyDescent="0.3">
      <c r="A41" s="29">
        <v>26</v>
      </c>
      <c r="B41" s="30" t="s">
        <v>26</v>
      </c>
      <c r="D41" s="3">
        <v>210307.58</v>
      </c>
      <c r="E41" s="3">
        <f>296708-2965</f>
        <v>293743</v>
      </c>
      <c r="F41" s="3">
        <f t="shared" si="2"/>
        <v>83435.420000000013</v>
      </c>
      <c r="G41" s="32">
        <f t="shared" si="3"/>
        <v>1.3967304459496896</v>
      </c>
      <c r="I41" s="3">
        <v>252069</v>
      </c>
      <c r="K41" s="33">
        <v>179760.97</v>
      </c>
      <c r="L41" s="3">
        <f>290231-1640</f>
        <v>288591</v>
      </c>
      <c r="M41" s="3">
        <f t="shared" si="4"/>
        <v>108830.03</v>
      </c>
      <c r="N41" s="32">
        <f t="shared" si="5"/>
        <v>1.6054152355764435</v>
      </c>
      <c r="P41" s="3">
        <v>228454</v>
      </c>
      <c r="R41" s="3">
        <v>201784.13</v>
      </c>
      <c r="S41" s="3">
        <f>319065-1610</f>
        <v>317455</v>
      </c>
      <c r="T41" s="3">
        <f t="shared" si="6"/>
        <v>115670.87</v>
      </c>
      <c r="U41" s="32">
        <f t="shared" si="7"/>
        <v>1.5732406706117077</v>
      </c>
      <c r="W41" s="3">
        <v>255366</v>
      </c>
      <c r="Y41" s="3">
        <v>169836.36</v>
      </c>
      <c r="Z41" s="34">
        <f>322618-2601.5</f>
        <v>320016.5</v>
      </c>
      <c r="AA41" s="3">
        <f t="shared" si="8"/>
        <v>150180.14000000001</v>
      </c>
      <c r="AB41" s="32">
        <f t="shared" si="9"/>
        <v>1.8842637701373253</v>
      </c>
      <c r="AD41" s="3">
        <v>198428</v>
      </c>
      <c r="AF41" s="3">
        <v>178043.6</v>
      </c>
      <c r="AG41" s="34">
        <f>321004-1725</f>
        <v>319279</v>
      </c>
      <c r="AH41" s="3">
        <f t="shared" si="10"/>
        <v>141235.4</v>
      </c>
      <c r="AI41" s="32">
        <f t="shared" si="11"/>
        <v>1.7932629985014905</v>
      </c>
      <c r="AK41" s="3">
        <v>213348.5</v>
      </c>
      <c r="AM41" s="3">
        <v>181778.67</v>
      </c>
      <c r="AN41" s="3">
        <f>315924-1178</f>
        <v>314746</v>
      </c>
      <c r="AO41" s="3">
        <f t="shared" si="12"/>
        <v>132967.32999999999</v>
      </c>
      <c r="AP41" s="32">
        <f t="shared" si="13"/>
        <v>1.7314792764189548</v>
      </c>
      <c r="AR41" s="3">
        <v>250314</v>
      </c>
      <c r="AT41" s="3">
        <v>231750.31</v>
      </c>
      <c r="AU41" s="3">
        <f>329039-1745.5</f>
        <v>327293.5</v>
      </c>
      <c r="AV41" s="3">
        <f t="shared" si="14"/>
        <v>95543.19</v>
      </c>
      <c r="AW41" s="32">
        <f t="shared" si="15"/>
        <v>1.4122677980452325</v>
      </c>
      <c r="AY41" s="3">
        <v>304825</v>
      </c>
      <c r="BA41" s="3">
        <v>206072.61</v>
      </c>
      <c r="BB41" s="3">
        <f>369265-2443</f>
        <v>366822</v>
      </c>
      <c r="BC41" s="3">
        <f t="shared" si="16"/>
        <v>160749.39000000001</v>
      </c>
      <c r="BD41" s="32">
        <f t="shared" si="17"/>
        <v>1.780061891776884</v>
      </c>
      <c r="BF41" s="3">
        <v>260139</v>
      </c>
      <c r="BH41" s="3">
        <v>198955.9</v>
      </c>
      <c r="BI41" s="3">
        <f>279204-8223</f>
        <v>270981</v>
      </c>
      <c r="BJ41" s="3">
        <f t="shared" si="18"/>
        <v>72025.100000000006</v>
      </c>
      <c r="BK41" s="32">
        <f t="shared" si="19"/>
        <v>1.3620154014030246</v>
      </c>
      <c r="BM41" s="3">
        <v>183339</v>
      </c>
      <c r="BO41" s="3">
        <v>199102.94</v>
      </c>
      <c r="BP41" s="3">
        <f>308951-2732</f>
        <v>306219</v>
      </c>
      <c r="BQ41" s="3">
        <f t="shared" si="20"/>
        <v>107116.06</v>
      </c>
      <c r="BR41" s="32">
        <f t="shared" si="21"/>
        <v>1.5379933616248962</v>
      </c>
      <c r="BT41" s="3">
        <f>334355-763.5</f>
        <v>333591.5</v>
      </c>
      <c r="BV41" s="3">
        <v>174481.72</v>
      </c>
      <c r="BW41" s="34">
        <f>283910-2553</f>
        <v>281357</v>
      </c>
      <c r="BX41" s="3">
        <f t="shared" si="22"/>
        <v>106875.28</v>
      </c>
      <c r="BY41" s="32">
        <f t="shared" si="23"/>
        <v>1.6125299544273177</v>
      </c>
      <c r="CA41" s="3">
        <f>228402-1569.5</f>
        <v>226832.5</v>
      </c>
      <c r="CC41" s="3">
        <v>148426.18</v>
      </c>
      <c r="CD41" s="3">
        <f>259860-1375</f>
        <v>258485</v>
      </c>
      <c r="CE41" s="3">
        <f t="shared" si="24"/>
        <v>110058.82</v>
      </c>
      <c r="CF41" s="32">
        <f t="shared" si="25"/>
        <v>1.7415054406170125</v>
      </c>
      <c r="CH41" s="3">
        <f>229108.5-1983.5</f>
        <v>227125</v>
      </c>
      <c r="CJ41" s="3">
        <f t="shared" si="26"/>
        <v>2280300.9700000002</v>
      </c>
      <c r="CK41" s="3">
        <f t="shared" si="37"/>
        <v>3664988</v>
      </c>
      <c r="CL41" s="3">
        <f t="shared" si="27"/>
        <v>1384687.0299999998</v>
      </c>
      <c r="CM41" s="32">
        <f t="shared" si="28"/>
        <v>1.607238714633358</v>
      </c>
      <c r="CO41" s="3">
        <f t="shared" si="38"/>
        <v>2933831.5</v>
      </c>
      <c r="CQ41" s="3">
        <f t="shared" si="1"/>
        <v>2280300.9700000002</v>
      </c>
      <c r="CR41" s="3">
        <f t="shared" si="1"/>
        <v>3664988</v>
      </c>
      <c r="CS41" s="3">
        <f t="shared" si="29"/>
        <v>1384687.0299999998</v>
      </c>
      <c r="CT41" s="32">
        <f t="shared" si="30"/>
        <v>1.607238714633358</v>
      </c>
      <c r="CV41" s="3">
        <f t="shared" si="31"/>
        <v>2933831.5</v>
      </c>
      <c r="CX41" s="3">
        <f t="shared" si="32"/>
        <v>522010.84</v>
      </c>
      <c r="CY41" s="3">
        <f t="shared" si="33"/>
        <v>522010.84</v>
      </c>
      <c r="CZ41" s="3">
        <f t="shared" si="34"/>
        <v>600312.46600000001</v>
      </c>
      <c r="DA41" s="3">
        <f t="shared" si="35"/>
        <v>4265300.466</v>
      </c>
    </row>
    <row r="42" spans="1:105" s="31" customFormat="1" ht="16.5" customHeight="1" x14ac:dyDescent="0.3">
      <c r="A42" s="29">
        <v>27</v>
      </c>
      <c r="B42" s="30" t="s">
        <v>27</v>
      </c>
      <c r="D42" s="3">
        <v>1760.79</v>
      </c>
      <c r="E42" s="3">
        <v>536</v>
      </c>
      <c r="F42" s="3">
        <f t="shared" si="2"/>
        <v>-1224.79</v>
      </c>
      <c r="G42" s="32">
        <f t="shared" si="3"/>
        <v>0.30440881649714052</v>
      </c>
      <c r="I42" s="3">
        <v>5000</v>
      </c>
      <c r="K42" s="33">
        <v>820.9</v>
      </c>
      <c r="L42" s="3">
        <f>2859</f>
        <v>2859</v>
      </c>
      <c r="M42" s="3">
        <f t="shared" si="4"/>
        <v>2038.1</v>
      </c>
      <c r="N42" s="32">
        <f t="shared" si="5"/>
        <v>3.4827628212937021</v>
      </c>
      <c r="P42" s="3">
        <v>3000</v>
      </c>
      <c r="R42" s="3">
        <v>2079.37</v>
      </c>
      <c r="S42" s="3">
        <v>2680</v>
      </c>
      <c r="T42" s="3">
        <f t="shared" si="6"/>
        <v>600.63000000000011</v>
      </c>
      <c r="U42" s="32">
        <f t="shared" si="7"/>
        <v>1.2888519118771551</v>
      </c>
      <c r="W42" s="3">
        <v>4667</v>
      </c>
      <c r="Y42" s="3">
        <v>803.07</v>
      </c>
      <c r="Z42" s="34">
        <v>536</v>
      </c>
      <c r="AA42" s="3">
        <f t="shared" si="8"/>
        <v>-267.07000000000005</v>
      </c>
      <c r="AB42" s="32">
        <f t="shared" si="9"/>
        <v>0.66743870397350169</v>
      </c>
      <c r="AD42" s="3">
        <v>1500</v>
      </c>
      <c r="AF42" s="3">
        <v>1807.19</v>
      </c>
      <c r="AG42" s="34">
        <v>1072</v>
      </c>
      <c r="AH42" s="3">
        <f t="shared" si="10"/>
        <v>-735.19</v>
      </c>
      <c r="AI42" s="32">
        <f t="shared" si="11"/>
        <v>0.5931861066074956</v>
      </c>
      <c r="AK42" s="3">
        <v>3834</v>
      </c>
      <c r="AM42" s="3">
        <v>827.79</v>
      </c>
      <c r="AN42" s="3">
        <v>5896</v>
      </c>
      <c r="AO42" s="3">
        <f t="shared" si="12"/>
        <v>5068.21</v>
      </c>
      <c r="AP42" s="32">
        <f t="shared" si="13"/>
        <v>7.122579398156538</v>
      </c>
      <c r="AR42" s="3">
        <v>1000</v>
      </c>
      <c r="AT42" s="3">
        <v>992.23</v>
      </c>
      <c r="AU42" s="3">
        <v>2414</v>
      </c>
      <c r="AV42" s="3">
        <f t="shared" si="14"/>
        <v>1421.77</v>
      </c>
      <c r="AW42" s="32">
        <f t="shared" si="15"/>
        <v>2.4329036614494624</v>
      </c>
      <c r="AY42" s="3">
        <v>1334</v>
      </c>
      <c r="BA42" s="3">
        <v>1152.3100000000002</v>
      </c>
      <c r="BB42" s="3">
        <v>1608</v>
      </c>
      <c r="BC42" s="3">
        <f t="shared" si="16"/>
        <v>455.68999999999983</v>
      </c>
      <c r="BD42" s="32">
        <f t="shared" si="17"/>
        <v>1.3954578195103746</v>
      </c>
      <c r="BF42" s="3">
        <v>1167</v>
      </c>
      <c r="BH42" s="3">
        <v>1758.38</v>
      </c>
      <c r="BI42" s="3">
        <v>1608</v>
      </c>
      <c r="BJ42" s="3">
        <f t="shared" si="18"/>
        <v>-150.38000000000011</v>
      </c>
      <c r="BK42" s="32">
        <f t="shared" si="19"/>
        <v>0.91447809915945355</v>
      </c>
      <c r="BM42" s="3">
        <v>3001</v>
      </c>
      <c r="BO42" s="3">
        <v>858.45</v>
      </c>
      <c r="BP42" s="3">
        <f>2680</f>
        <v>2680</v>
      </c>
      <c r="BQ42" s="3">
        <f t="shared" si="20"/>
        <v>1821.55</v>
      </c>
      <c r="BR42" s="32">
        <f t="shared" si="21"/>
        <v>3.1219057603820839</v>
      </c>
      <c r="BT42" s="3">
        <v>3667</v>
      </c>
      <c r="BV42" s="3">
        <v>435.17</v>
      </c>
      <c r="BW42" s="34">
        <f>1698</f>
        <v>1698</v>
      </c>
      <c r="BX42" s="3">
        <f t="shared" si="22"/>
        <v>1262.83</v>
      </c>
      <c r="BY42" s="32">
        <f t="shared" si="23"/>
        <v>3.9019233862628395</v>
      </c>
      <c r="CA42" s="3">
        <v>1000</v>
      </c>
      <c r="CC42" s="3">
        <v>1676.32</v>
      </c>
      <c r="CD42" s="3">
        <v>2324</v>
      </c>
      <c r="CE42" s="3">
        <f t="shared" si="24"/>
        <v>647.68000000000006</v>
      </c>
      <c r="CF42" s="32">
        <f t="shared" si="25"/>
        <v>1.3863701441252267</v>
      </c>
      <c r="CH42" s="3">
        <v>3834</v>
      </c>
      <c r="CJ42" s="3">
        <f t="shared" si="26"/>
        <v>14971.97</v>
      </c>
      <c r="CK42" s="3">
        <f t="shared" si="37"/>
        <v>25911</v>
      </c>
      <c r="CL42" s="3">
        <f t="shared" si="27"/>
        <v>10939.03</v>
      </c>
      <c r="CM42" s="32">
        <f t="shared" si="28"/>
        <v>1.7306339780269397</v>
      </c>
      <c r="CO42" s="3">
        <f t="shared" si="38"/>
        <v>33004</v>
      </c>
      <c r="CQ42" s="3">
        <f t="shared" si="1"/>
        <v>14971.97</v>
      </c>
      <c r="CR42" s="3">
        <f t="shared" si="1"/>
        <v>25911</v>
      </c>
      <c r="CS42" s="3">
        <f t="shared" si="29"/>
        <v>10939.03</v>
      </c>
      <c r="CT42" s="32">
        <f t="shared" si="30"/>
        <v>1.7306339780269397</v>
      </c>
      <c r="CV42" s="3">
        <f t="shared" si="31"/>
        <v>33004</v>
      </c>
      <c r="CX42" s="3">
        <f t="shared" si="32"/>
        <v>2969.94</v>
      </c>
      <c r="CY42" s="3">
        <f t="shared" si="33"/>
        <v>2969.94</v>
      </c>
      <c r="CZ42" s="3">
        <f t="shared" si="34"/>
        <v>3415.4309999999996</v>
      </c>
      <c r="DA42" s="3">
        <f t="shared" si="35"/>
        <v>29326.431</v>
      </c>
    </row>
    <row r="43" spans="1:105" s="31" customFormat="1" ht="16.5" customHeight="1" x14ac:dyDescent="0.3">
      <c r="A43" s="29">
        <v>28</v>
      </c>
      <c r="B43" s="30" t="s">
        <v>28</v>
      </c>
      <c r="D43" s="3">
        <v>730636.55</v>
      </c>
      <c r="E43" s="3">
        <f>1335080.41-6419.2</f>
        <v>1328661.21</v>
      </c>
      <c r="F43" s="3">
        <f t="shared" si="2"/>
        <v>598024.65999999992</v>
      </c>
      <c r="G43" s="32">
        <f t="shared" si="3"/>
        <v>1.8184981438445693</v>
      </c>
      <c r="I43" s="3">
        <v>905384.23</v>
      </c>
      <c r="K43" s="33">
        <v>296507.36000000004</v>
      </c>
      <c r="L43" s="3">
        <f>751355.06-723</f>
        <v>750632.06</v>
      </c>
      <c r="M43" s="3">
        <f t="shared" si="4"/>
        <v>454124.7</v>
      </c>
      <c r="N43" s="32">
        <f t="shared" si="5"/>
        <v>2.5315798569047323</v>
      </c>
      <c r="P43" s="3">
        <v>479377.01</v>
      </c>
      <c r="R43" s="3">
        <v>243619.14999999997</v>
      </c>
      <c r="S43" s="3">
        <f>474357.33-5151</f>
        <v>469206.33</v>
      </c>
      <c r="T43" s="3">
        <f t="shared" si="6"/>
        <v>225587.18000000005</v>
      </c>
      <c r="U43" s="32">
        <f t="shared" si="7"/>
        <v>1.9259829533105262</v>
      </c>
      <c r="W43" s="3">
        <v>343594.16000000003</v>
      </c>
      <c r="Y43" s="3">
        <v>186961.8</v>
      </c>
      <c r="Z43" s="34">
        <f>347794.85-1221</f>
        <v>346573.85</v>
      </c>
      <c r="AA43" s="3">
        <f t="shared" si="8"/>
        <v>159612.04999999999</v>
      </c>
      <c r="AB43" s="32">
        <f t="shared" si="9"/>
        <v>1.8537147695411575</v>
      </c>
      <c r="AD43" s="3">
        <v>279116.84999999998</v>
      </c>
      <c r="AF43" s="3">
        <v>133304.82</v>
      </c>
      <c r="AG43" s="34">
        <f>305975.03-1516</f>
        <v>304459.03000000003</v>
      </c>
      <c r="AH43" s="3">
        <f t="shared" si="10"/>
        <v>171154.21000000002</v>
      </c>
      <c r="AI43" s="32">
        <f t="shared" si="11"/>
        <v>2.2839311436750749</v>
      </c>
      <c r="AK43" s="3">
        <v>200709.76000000001</v>
      </c>
      <c r="AM43" s="3">
        <v>136454.63</v>
      </c>
      <c r="AN43" s="3">
        <f>270080.78-3107.44</f>
        <v>266973.34000000003</v>
      </c>
      <c r="AO43" s="3">
        <f t="shared" si="12"/>
        <v>130518.71000000002</v>
      </c>
      <c r="AP43" s="32">
        <f t="shared" si="13"/>
        <v>1.9564989476722043</v>
      </c>
      <c r="AR43" s="3">
        <v>206775.21</v>
      </c>
      <c r="AT43" s="3">
        <v>128022.34</v>
      </c>
      <c r="AU43" s="3">
        <f>241235.82-1496</f>
        <v>239739.82</v>
      </c>
      <c r="AV43" s="3">
        <f t="shared" si="14"/>
        <v>111717.48000000001</v>
      </c>
      <c r="AW43" s="32">
        <f t="shared" si="15"/>
        <v>1.8726405094610832</v>
      </c>
      <c r="AY43" s="3">
        <v>184375.09</v>
      </c>
      <c r="BA43" s="3">
        <v>160336.41</v>
      </c>
      <c r="BB43" s="3">
        <f>239435.2-262</f>
        <v>239173.2</v>
      </c>
      <c r="BC43" s="3">
        <f t="shared" si="16"/>
        <v>78836.790000000008</v>
      </c>
      <c r="BD43" s="32">
        <f t="shared" si="17"/>
        <v>1.4916961156857635</v>
      </c>
      <c r="BF43" s="3">
        <v>257274.77</v>
      </c>
      <c r="BH43" s="3">
        <v>147827.93</v>
      </c>
      <c r="BI43" s="3">
        <f>277104.46-306</f>
        <v>276798.46000000002</v>
      </c>
      <c r="BJ43" s="3">
        <f t="shared" si="18"/>
        <v>128970.53000000003</v>
      </c>
      <c r="BK43" s="32">
        <f t="shared" si="19"/>
        <v>1.8724368257067527</v>
      </c>
      <c r="BM43" s="3">
        <v>154854.49</v>
      </c>
      <c r="BO43" s="3">
        <v>164392.78</v>
      </c>
      <c r="BP43" s="3">
        <f>267731.07-1122</f>
        <v>266609.07</v>
      </c>
      <c r="BQ43" s="3">
        <f t="shared" si="20"/>
        <v>102216.29000000001</v>
      </c>
      <c r="BR43" s="32">
        <f t="shared" si="21"/>
        <v>1.6217808957303357</v>
      </c>
      <c r="BT43" s="3">
        <f>228747.65-6936.2</f>
        <v>221811.44999999998</v>
      </c>
      <c r="BV43" s="3">
        <v>166501.79999999999</v>
      </c>
      <c r="BW43" s="34">
        <f>266940.85-748</f>
        <v>266192.84999999998</v>
      </c>
      <c r="BX43" s="3">
        <f t="shared" si="22"/>
        <v>99691.049999999988</v>
      </c>
      <c r="BY43" s="32">
        <f t="shared" si="23"/>
        <v>1.5987385721956158</v>
      </c>
      <c r="CA43" s="3">
        <f>204911.35-329.6</f>
        <v>204581.75</v>
      </c>
      <c r="CC43" s="3">
        <v>120988.4</v>
      </c>
      <c r="CD43" s="3">
        <f>284455.35-846</f>
        <v>283609.34999999998</v>
      </c>
      <c r="CE43" s="3">
        <f t="shared" si="24"/>
        <v>162620.94999999998</v>
      </c>
      <c r="CF43" s="32">
        <f t="shared" si="25"/>
        <v>2.3441036496060779</v>
      </c>
      <c r="CH43" s="3">
        <f>218356.29-4535.3</f>
        <v>213820.99000000002</v>
      </c>
      <c r="CJ43" s="3">
        <f t="shared" si="26"/>
        <v>2615553.9699999997</v>
      </c>
      <c r="CK43" s="3">
        <f t="shared" si="37"/>
        <v>5038628.57</v>
      </c>
      <c r="CL43" s="3">
        <f t="shared" si="27"/>
        <v>2423074.6000000006</v>
      </c>
      <c r="CM43" s="32">
        <f t="shared" si="28"/>
        <v>1.9264097119739421</v>
      </c>
      <c r="CO43" s="3">
        <f t="shared" si="38"/>
        <v>3651675.7600000002</v>
      </c>
      <c r="CQ43" s="3">
        <f t="shared" si="1"/>
        <v>2615553.9699999997</v>
      </c>
      <c r="CR43" s="3">
        <f t="shared" si="1"/>
        <v>5038628.57</v>
      </c>
      <c r="CS43" s="3">
        <f t="shared" si="29"/>
        <v>2423074.6000000006</v>
      </c>
      <c r="CT43" s="32">
        <f t="shared" si="30"/>
        <v>1.9264097119739421</v>
      </c>
      <c r="CV43" s="3">
        <f t="shared" si="31"/>
        <v>3651675.76</v>
      </c>
      <c r="CX43" s="3">
        <f t="shared" si="32"/>
        <v>451882.98</v>
      </c>
      <c r="CY43" s="3">
        <f t="shared" si="33"/>
        <v>451882.98</v>
      </c>
      <c r="CZ43" s="3">
        <f t="shared" si="34"/>
        <v>519665.42699999997</v>
      </c>
      <c r="DA43" s="3">
        <f t="shared" si="35"/>
        <v>5558293.9970000004</v>
      </c>
    </row>
    <row r="44" spans="1:105" s="31" customFormat="1" ht="16.5" customHeight="1" x14ac:dyDescent="0.3">
      <c r="A44" s="29">
        <v>29</v>
      </c>
      <c r="B44" s="30" t="s">
        <v>29</v>
      </c>
      <c r="D44" s="3">
        <v>76071.59</v>
      </c>
      <c r="E44" s="3">
        <f>84077-357</f>
        <v>83720</v>
      </c>
      <c r="F44" s="3">
        <f t="shared" si="2"/>
        <v>7648.4100000000035</v>
      </c>
      <c r="G44" s="32">
        <f t="shared" si="3"/>
        <v>1.1005422655159436</v>
      </c>
      <c r="I44" s="3">
        <v>57390</v>
      </c>
      <c r="K44" s="33">
        <v>90878.81</v>
      </c>
      <c r="L44" s="3">
        <f>67384-483</f>
        <v>66901</v>
      </c>
      <c r="M44" s="3">
        <f t="shared" si="4"/>
        <v>-23977.809999999998</v>
      </c>
      <c r="N44" s="32">
        <f t="shared" si="5"/>
        <v>0.73615620627074674</v>
      </c>
      <c r="P44" s="3">
        <v>110342</v>
      </c>
      <c r="R44" s="3">
        <v>99866.180000000008</v>
      </c>
      <c r="S44" s="3">
        <f>102115-8942.5</f>
        <v>93172.5</v>
      </c>
      <c r="T44" s="3">
        <f t="shared" si="6"/>
        <v>-6693.6800000000076</v>
      </c>
      <c r="U44" s="32">
        <f t="shared" si="7"/>
        <v>0.93297350514458444</v>
      </c>
      <c r="W44" s="3">
        <v>99968</v>
      </c>
      <c r="Y44" s="3">
        <v>93609.15</v>
      </c>
      <c r="Z44" s="34">
        <f>79596-714</f>
        <v>78882</v>
      </c>
      <c r="AA44" s="3">
        <f t="shared" si="8"/>
        <v>-14727.149999999994</v>
      </c>
      <c r="AB44" s="32">
        <f t="shared" si="9"/>
        <v>0.84267403346788217</v>
      </c>
      <c r="AD44" s="3">
        <v>57695</v>
      </c>
      <c r="AF44" s="3">
        <v>101092.08000000002</v>
      </c>
      <c r="AG44" s="34">
        <v>77379</v>
      </c>
      <c r="AH44" s="3">
        <f t="shared" si="10"/>
        <v>-23713.080000000016</v>
      </c>
      <c r="AI44" s="32">
        <f t="shared" si="11"/>
        <v>0.76543088241927548</v>
      </c>
      <c r="AK44" s="3">
        <v>99189</v>
      </c>
      <c r="AM44" s="3">
        <v>107019.22</v>
      </c>
      <c r="AN44" s="3">
        <f>59290-1522</f>
        <v>57768</v>
      </c>
      <c r="AO44" s="3">
        <f t="shared" si="12"/>
        <v>-49251.22</v>
      </c>
      <c r="AP44" s="32">
        <f t="shared" si="13"/>
        <v>0.53979088989809498</v>
      </c>
      <c r="AR44" s="3">
        <v>93393.56</v>
      </c>
      <c r="AT44" s="3">
        <v>86383.19</v>
      </c>
      <c r="AU44" s="3">
        <f>71851-357</f>
        <v>71494</v>
      </c>
      <c r="AV44" s="3">
        <f t="shared" si="14"/>
        <v>-14889.190000000002</v>
      </c>
      <c r="AW44" s="32">
        <f t="shared" si="15"/>
        <v>0.82763787723051208</v>
      </c>
      <c r="AY44" s="3">
        <v>96895.7</v>
      </c>
      <c r="BA44" s="3">
        <v>122059.49</v>
      </c>
      <c r="BB44" s="3">
        <f>79457-3077</f>
        <v>76380</v>
      </c>
      <c r="BC44" s="3">
        <f t="shared" si="16"/>
        <v>-45679.490000000005</v>
      </c>
      <c r="BD44" s="32">
        <f t="shared" si="17"/>
        <v>0.62576043861890618</v>
      </c>
      <c r="BF44" s="3">
        <v>145522</v>
      </c>
      <c r="BH44" s="3">
        <v>107761.79999999999</v>
      </c>
      <c r="BI44" s="3">
        <v>80519</v>
      </c>
      <c r="BJ44" s="3">
        <f t="shared" si="18"/>
        <v>-27242.799999999988</v>
      </c>
      <c r="BK44" s="32">
        <f t="shared" si="19"/>
        <v>0.74719427478011702</v>
      </c>
      <c r="BM44" s="3">
        <v>86843</v>
      </c>
      <c r="BO44" s="3">
        <v>77720.430000000008</v>
      </c>
      <c r="BP44" s="3">
        <f>59339-178.5</f>
        <v>59160.5</v>
      </c>
      <c r="BQ44" s="3">
        <f t="shared" si="20"/>
        <v>-18559.930000000008</v>
      </c>
      <c r="BR44" s="32">
        <f t="shared" si="21"/>
        <v>0.76119625174487571</v>
      </c>
      <c r="BT44" s="3">
        <f>100501-902</f>
        <v>99599</v>
      </c>
      <c r="BV44" s="3">
        <v>53866.93</v>
      </c>
      <c r="BW44" s="34">
        <f>95876-7106</f>
        <v>88770</v>
      </c>
      <c r="BX44" s="3">
        <f t="shared" si="22"/>
        <v>34903.07</v>
      </c>
      <c r="BY44" s="32">
        <f t="shared" si="23"/>
        <v>1.6479498646015283</v>
      </c>
      <c r="CA44" s="3">
        <f>60969-451</f>
        <v>60518</v>
      </c>
      <c r="CC44" s="3">
        <v>78215.12</v>
      </c>
      <c r="CD44" s="3">
        <f>85771-178.5</f>
        <v>85592.5</v>
      </c>
      <c r="CE44" s="3">
        <f t="shared" si="24"/>
        <v>7377.3800000000047</v>
      </c>
      <c r="CF44" s="32">
        <f t="shared" si="25"/>
        <v>1.0943216605689541</v>
      </c>
      <c r="CH44" s="3">
        <f>98518-951</f>
        <v>97567</v>
      </c>
      <c r="CJ44" s="3">
        <f t="shared" si="26"/>
        <v>1094543.9900000002</v>
      </c>
      <c r="CK44" s="3">
        <f t="shared" si="37"/>
        <v>919738.5</v>
      </c>
      <c r="CL44" s="3">
        <f t="shared" si="27"/>
        <v>-174805.49000000022</v>
      </c>
      <c r="CM44" s="32">
        <f t="shared" si="28"/>
        <v>0.84029377384823045</v>
      </c>
      <c r="CO44" s="3">
        <f t="shared" si="38"/>
        <v>1104922.26</v>
      </c>
      <c r="CQ44" s="3">
        <f t="shared" si="1"/>
        <v>1094543.9900000002</v>
      </c>
      <c r="CR44" s="3">
        <f t="shared" si="1"/>
        <v>919738.5</v>
      </c>
      <c r="CS44" s="3">
        <f t="shared" si="29"/>
        <v>-174805.49000000022</v>
      </c>
      <c r="CT44" s="32">
        <f t="shared" si="30"/>
        <v>0.84029377384823045</v>
      </c>
      <c r="CV44" s="3">
        <f t="shared" si="31"/>
        <v>1104922.26</v>
      </c>
      <c r="CX44" s="3">
        <f t="shared" si="32"/>
        <v>209802.48</v>
      </c>
      <c r="CY44" s="3">
        <f t="shared" si="33"/>
        <v>209802.48</v>
      </c>
      <c r="CZ44" s="3">
        <f t="shared" si="34"/>
        <v>241272.85199999998</v>
      </c>
      <c r="DA44" s="3">
        <f t="shared" si="35"/>
        <v>1161011.352</v>
      </c>
    </row>
    <row r="45" spans="1:105" s="31" customFormat="1" ht="16.5" customHeight="1" x14ac:dyDescent="0.3">
      <c r="A45" s="29">
        <v>30</v>
      </c>
      <c r="B45" s="30" t="s">
        <v>30</v>
      </c>
      <c r="D45" s="3">
        <v>381805.78</v>
      </c>
      <c r="E45" s="3">
        <f>661838.69-1952.3</f>
        <v>659886.3899999999</v>
      </c>
      <c r="F45" s="3">
        <f t="shared" si="2"/>
        <v>278080.60999999987</v>
      </c>
      <c r="G45" s="32">
        <f t="shared" si="3"/>
        <v>1.7283300163763886</v>
      </c>
      <c r="I45" s="3">
        <v>224593.63</v>
      </c>
      <c r="K45" s="33">
        <v>314295.42</v>
      </c>
      <c r="L45" s="3">
        <f>591644.6-2312.24</f>
        <v>589332.36</v>
      </c>
      <c r="M45" s="3">
        <f t="shared" si="4"/>
        <v>275036.94</v>
      </c>
      <c r="N45" s="32">
        <f t="shared" si="5"/>
        <v>1.8750905119775529</v>
      </c>
      <c r="P45" s="3">
        <v>181641.87999999998</v>
      </c>
      <c r="R45" s="3">
        <v>310457.3</v>
      </c>
      <c r="S45" s="3">
        <f>646975.76-5829.88</f>
        <v>641145.88</v>
      </c>
      <c r="T45" s="3">
        <f t="shared" si="6"/>
        <v>330688.58</v>
      </c>
      <c r="U45" s="32">
        <f t="shared" si="7"/>
        <v>2.0651660630946673</v>
      </c>
      <c r="W45" s="3">
        <v>197663.87</v>
      </c>
      <c r="Y45" s="3">
        <v>328499.86000000004</v>
      </c>
      <c r="Z45" s="34">
        <f>792088.51-3788.14</f>
        <v>788300.37</v>
      </c>
      <c r="AA45" s="3">
        <f t="shared" si="8"/>
        <v>459800.50999999995</v>
      </c>
      <c r="AB45" s="32">
        <f t="shared" si="9"/>
        <v>2.399697735030998</v>
      </c>
      <c r="AD45" s="3">
        <v>215391.87</v>
      </c>
      <c r="AF45" s="3">
        <v>368987.5</v>
      </c>
      <c r="AG45" s="34">
        <f>770438.6-1835.16</f>
        <v>768603.44</v>
      </c>
      <c r="AH45" s="3">
        <f t="shared" si="10"/>
        <v>399615.93999999994</v>
      </c>
      <c r="AI45" s="32">
        <f t="shared" si="11"/>
        <v>2.0830067143195907</v>
      </c>
      <c r="AK45" s="3">
        <v>264131.68</v>
      </c>
      <c r="AM45" s="3">
        <v>375992.71</v>
      </c>
      <c r="AN45" s="3">
        <f>691191.55-2383</f>
        <v>688808.55</v>
      </c>
      <c r="AO45" s="3">
        <f t="shared" si="12"/>
        <v>312815.84000000003</v>
      </c>
      <c r="AP45" s="32">
        <f t="shared" si="13"/>
        <v>1.831973151819885</v>
      </c>
      <c r="AR45" s="3">
        <v>268011.03999999998</v>
      </c>
      <c r="AT45" s="3">
        <v>319147.19</v>
      </c>
      <c r="AU45" s="3">
        <f>574372.75-4197.76</f>
        <v>570174.99</v>
      </c>
      <c r="AV45" s="3">
        <f t="shared" si="14"/>
        <v>251027.8</v>
      </c>
      <c r="AW45" s="32">
        <f t="shared" si="15"/>
        <v>1.7865580768547578</v>
      </c>
      <c r="AY45" s="3">
        <v>443349.61</v>
      </c>
      <c r="BA45" s="3">
        <v>329569.57999999996</v>
      </c>
      <c r="BB45" s="3">
        <f>794151.27-1312.32</f>
        <v>792838.95000000007</v>
      </c>
      <c r="BC45" s="3">
        <f t="shared" si="16"/>
        <v>463269.37000000011</v>
      </c>
      <c r="BD45" s="32">
        <f t="shared" si="17"/>
        <v>2.405680008452237</v>
      </c>
      <c r="BF45" s="3">
        <v>479652.14</v>
      </c>
      <c r="BH45" s="3">
        <v>315893.65999999997</v>
      </c>
      <c r="BI45" s="3">
        <f>754458.19-3475.16</f>
        <v>750983.02999999991</v>
      </c>
      <c r="BJ45" s="3">
        <f t="shared" si="18"/>
        <v>435089.36999999994</v>
      </c>
      <c r="BK45" s="32">
        <f t="shared" si="19"/>
        <v>2.3773285921597793</v>
      </c>
      <c r="BM45" s="3">
        <v>349899.97</v>
      </c>
      <c r="BO45" s="3">
        <v>341238.77</v>
      </c>
      <c r="BP45" s="3">
        <f>651340.26-2025.4</f>
        <v>649314.86</v>
      </c>
      <c r="BQ45" s="3">
        <f t="shared" si="20"/>
        <v>308076.08999999997</v>
      </c>
      <c r="BR45" s="32">
        <f t="shared" si="21"/>
        <v>1.9028167872015245</v>
      </c>
      <c r="BT45" s="3">
        <f>622116.44-2247.06</f>
        <v>619869.37999999989</v>
      </c>
      <c r="BV45" s="3">
        <v>322957.39999999997</v>
      </c>
      <c r="BW45" s="34">
        <f>684237.93</f>
        <v>684237.93</v>
      </c>
      <c r="BX45" s="3">
        <f t="shared" si="22"/>
        <v>361280.53000000009</v>
      </c>
      <c r="BY45" s="32">
        <f t="shared" si="23"/>
        <v>2.1186631116054317</v>
      </c>
      <c r="CA45" s="3">
        <f>483456.95-67</f>
        <v>483389.95</v>
      </c>
      <c r="CC45" s="3">
        <v>269794.85000000003</v>
      </c>
      <c r="CD45" s="3">
        <f>860922.14-3855.76</f>
        <v>857066.38</v>
      </c>
      <c r="CE45" s="3">
        <f t="shared" si="24"/>
        <v>587271.53</v>
      </c>
      <c r="CF45" s="32">
        <f t="shared" si="25"/>
        <v>3.1767336552198824</v>
      </c>
      <c r="CH45" s="3">
        <f>655299.06-4798.84</f>
        <v>650500.22000000009</v>
      </c>
      <c r="CJ45" s="3">
        <f t="shared" si="26"/>
        <v>3978640.0200000005</v>
      </c>
      <c r="CK45" s="3">
        <f t="shared" si="37"/>
        <v>8440693.1300000008</v>
      </c>
      <c r="CL45" s="3">
        <f t="shared" si="27"/>
        <v>4462053.1100000003</v>
      </c>
      <c r="CM45" s="32">
        <f t="shared" si="28"/>
        <v>2.1215020930694806</v>
      </c>
      <c r="CO45" s="3">
        <f t="shared" si="38"/>
        <v>4378095.24</v>
      </c>
      <c r="CQ45" s="3">
        <f t="shared" si="1"/>
        <v>3978640.0200000005</v>
      </c>
      <c r="CR45" s="3">
        <f t="shared" si="1"/>
        <v>8440693.1300000008</v>
      </c>
      <c r="CS45" s="3">
        <f t="shared" si="29"/>
        <v>4462053.1100000003</v>
      </c>
      <c r="CT45" s="32">
        <f t="shared" si="30"/>
        <v>2.1215020930694806</v>
      </c>
      <c r="CV45" s="3">
        <f t="shared" si="31"/>
        <v>4378095.24</v>
      </c>
      <c r="CX45" s="3">
        <f t="shared" si="32"/>
        <v>933991.02</v>
      </c>
      <c r="CY45" s="3">
        <f t="shared" si="33"/>
        <v>933991.02</v>
      </c>
      <c r="CZ45" s="3">
        <f t="shared" si="34"/>
        <v>1074089.673</v>
      </c>
      <c r="DA45" s="3">
        <f t="shared" si="35"/>
        <v>9514782.8030000012</v>
      </c>
    </row>
    <row r="46" spans="1:105" s="31" customFormat="1" ht="16.5" customHeight="1" x14ac:dyDescent="0.3">
      <c r="A46" s="29">
        <v>31</v>
      </c>
      <c r="B46" s="30" t="s">
        <v>31</v>
      </c>
      <c r="D46" s="3">
        <v>0</v>
      </c>
      <c r="E46" s="3">
        <v>0</v>
      </c>
      <c r="F46" s="3">
        <f t="shared" si="2"/>
        <v>0</v>
      </c>
      <c r="G46" s="32">
        <f t="shared" si="3"/>
        <v>0</v>
      </c>
      <c r="I46" s="3">
        <v>0</v>
      </c>
      <c r="K46" s="33"/>
      <c r="L46" s="3"/>
      <c r="M46" s="3">
        <f t="shared" si="4"/>
        <v>0</v>
      </c>
      <c r="N46" s="32">
        <f t="shared" si="5"/>
        <v>0</v>
      </c>
      <c r="P46" s="3">
        <v>0</v>
      </c>
      <c r="R46" s="3"/>
      <c r="S46" s="3"/>
      <c r="T46" s="3">
        <f t="shared" si="6"/>
        <v>0</v>
      </c>
      <c r="U46" s="32">
        <f t="shared" si="7"/>
        <v>0</v>
      </c>
      <c r="W46" s="3">
        <v>0</v>
      </c>
      <c r="Y46" s="3"/>
      <c r="Z46" s="34"/>
      <c r="AA46" s="3">
        <f t="shared" si="8"/>
        <v>0</v>
      </c>
      <c r="AB46" s="32">
        <f t="shared" si="9"/>
        <v>0</v>
      </c>
      <c r="AD46" s="3">
        <v>0</v>
      </c>
      <c r="AF46" s="3"/>
      <c r="AG46" s="34"/>
      <c r="AH46" s="3">
        <f t="shared" si="10"/>
        <v>0</v>
      </c>
      <c r="AI46" s="32">
        <f t="shared" si="11"/>
        <v>0</v>
      </c>
      <c r="AK46" s="3">
        <v>0</v>
      </c>
      <c r="AM46" s="3"/>
      <c r="AN46" s="3"/>
      <c r="AO46" s="3">
        <f t="shared" si="12"/>
        <v>0</v>
      </c>
      <c r="AP46" s="32">
        <f t="shared" si="13"/>
        <v>0</v>
      </c>
      <c r="AR46" s="3">
        <v>0</v>
      </c>
      <c r="AT46" s="3">
        <v>0</v>
      </c>
      <c r="AU46" s="3"/>
      <c r="AV46" s="3">
        <f t="shared" si="14"/>
        <v>0</v>
      </c>
      <c r="AW46" s="32">
        <f t="shared" si="15"/>
        <v>0</v>
      </c>
      <c r="AY46" s="3"/>
      <c r="BA46" s="3">
        <v>0</v>
      </c>
      <c r="BB46" s="3">
        <v>0</v>
      </c>
      <c r="BC46" s="3">
        <f t="shared" si="16"/>
        <v>0</v>
      </c>
      <c r="BD46" s="32">
        <f t="shared" si="17"/>
        <v>0</v>
      </c>
      <c r="BF46" s="3"/>
      <c r="BH46" s="3">
        <v>0</v>
      </c>
      <c r="BI46" s="3"/>
      <c r="BJ46" s="3">
        <f t="shared" si="18"/>
        <v>0</v>
      </c>
      <c r="BK46" s="32">
        <f t="shared" si="19"/>
        <v>0</v>
      </c>
      <c r="BM46" s="3"/>
      <c r="BO46" s="3">
        <v>0</v>
      </c>
      <c r="BP46" s="3"/>
      <c r="BQ46" s="3">
        <f t="shared" si="20"/>
        <v>0</v>
      </c>
      <c r="BR46" s="32">
        <f t="shared" si="21"/>
        <v>0</v>
      </c>
      <c r="BT46" s="3"/>
      <c r="BV46" s="3">
        <v>0</v>
      </c>
      <c r="BW46" s="34"/>
      <c r="BX46" s="3">
        <f t="shared" si="22"/>
        <v>0</v>
      </c>
      <c r="BY46" s="32">
        <f t="shared" si="23"/>
        <v>0</v>
      </c>
      <c r="CA46" s="3"/>
      <c r="CC46" s="3">
        <v>0</v>
      </c>
      <c r="CD46" s="3"/>
      <c r="CE46" s="3">
        <f t="shared" si="24"/>
        <v>0</v>
      </c>
      <c r="CF46" s="32">
        <f t="shared" si="25"/>
        <v>0</v>
      </c>
      <c r="CH46" s="3"/>
      <c r="CJ46" s="3">
        <f t="shared" si="26"/>
        <v>0</v>
      </c>
      <c r="CK46" s="3">
        <f t="shared" si="37"/>
        <v>0</v>
      </c>
      <c r="CL46" s="3">
        <f t="shared" si="27"/>
        <v>0</v>
      </c>
      <c r="CM46" s="32">
        <f t="shared" si="28"/>
        <v>0</v>
      </c>
      <c r="CO46" s="3">
        <f>+I46+P46+W46+AD46+AK46+AR46</f>
        <v>0</v>
      </c>
      <c r="CQ46" s="3">
        <f t="shared" si="1"/>
        <v>0</v>
      </c>
      <c r="CR46" s="3">
        <f t="shared" si="1"/>
        <v>0</v>
      </c>
      <c r="CS46" s="3">
        <f t="shared" si="29"/>
        <v>0</v>
      </c>
      <c r="CT46" s="32">
        <f t="shared" si="30"/>
        <v>0</v>
      </c>
      <c r="CV46" s="3">
        <f t="shared" si="31"/>
        <v>0</v>
      </c>
      <c r="CX46" s="3">
        <f t="shared" si="32"/>
        <v>0</v>
      </c>
      <c r="CY46" s="3">
        <f t="shared" si="33"/>
        <v>0</v>
      </c>
      <c r="CZ46" s="3">
        <f t="shared" si="34"/>
        <v>0</v>
      </c>
      <c r="DA46" s="3">
        <f t="shared" si="35"/>
        <v>0</v>
      </c>
    </row>
    <row r="47" spans="1:105" s="31" customFormat="1" ht="16.5" customHeight="1" x14ac:dyDescent="0.3">
      <c r="A47" s="29">
        <v>32</v>
      </c>
      <c r="B47" s="30" t="s">
        <v>32</v>
      </c>
      <c r="D47" s="3">
        <v>47770.350000000006</v>
      </c>
      <c r="E47" s="3">
        <v>302779</v>
      </c>
      <c r="F47" s="3">
        <f t="shared" si="2"/>
        <v>255008.65</v>
      </c>
      <c r="G47" s="32">
        <f t="shared" si="3"/>
        <v>6.3382202558700103</v>
      </c>
      <c r="I47" s="3">
        <v>63452</v>
      </c>
      <c r="K47" s="33">
        <v>135381.57999999999</v>
      </c>
      <c r="L47" s="3">
        <f>124876</f>
        <v>124876</v>
      </c>
      <c r="M47" s="3">
        <f t="shared" si="4"/>
        <v>-10505.579999999987</v>
      </c>
      <c r="N47" s="32">
        <f t="shared" si="5"/>
        <v>0.92240022608688721</v>
      </c>
      <c r="P47" s="3">
        <v>271296</v>
      </c>
      <c r="R47" s="3">
        <v>150491.71</v>
      </c>
      <c r="S47" s="3">
        <v>489404</v>
      </c>
      <c r="T47" s="3">
        <f t="shared" si="6"/>
        <v>338912.29000000004</v>
      </c>
      <c r="U47" s="32">
        <f t="shared" si="7"/>
        <v>3.2520329525127996</v>
      </c>
      <c r="W47" s="3">
        <v>476373.48</v>
      </c>
      <c r="Y47" s="3">
        <v>111459.90999999999</v>
      </c>
      <c r="Z47" s="34">
        <f>442289-113880</f>
        <v>328409</v>
      </c>
      <c r="AA47" s="3">
        <f t="shared" si="8"/>
        <v>216949.09000000003</v>
      </c>
      <c r="AB47" s="32">
        <f t="shared" si="9"/>
        <v>2.9464315914125541</v>
      </c>
      <c r="AD47" s="3">
        <v>287051.84000000003</v>
      </c>
      <c r="AF47" s="3">
        <v>102392.23</v>
      </c>
      <c r="AG47" s="34">
        <f>433520-110904</f>
        <v>322616</v>
      </c>
      <c r="AH47" s="3">
        <f t="shared" si="10"/>
        <v>220223.77000000002</v>
      </c>
      <c r="AI47" s="32">
        <f t="shared" si="11"/>
        <v>3.150785953191956</v>
      </c>
      <c r="AK47" s="3">
        <v>278335.84000000003</v>
      </c>
      <c r="AM47" s="3">
        <v>202311.09</v>
      </c>
      <c r="AN47" s="3">
        <v>360166</v>
      </c>
      <c r="AO47" s="3">
        <f t="shared" si="12"/>
        <v>157854.91</v>
      </c>
      <c r="AP47" s="32">
        <f t="shared" si="13"/>
        <v>1.7802583140647406</v>
      </c>
      <c r="AR47" s="3">
        <v>541234.84</v>
      </c>
      <c r="AT47" s="3">
        <v>74124.03</v>
      </c>
      <c r="AU47" s="3">
        <f>380982-500</f>
        <v>380482</v>
      </c>
      <c r="AV47" s="3">
        <f t="shared" si="14"/>
        <v>306357.96999999997</v>
      </c>
      <c r="AW47" s="32">
        <f t="shared" si="15"/>
        <v>5.1330452486191049</v>
      </c>
      <c r="AY47" s="3">
        <v>196336</v>
      </c>
      <c r="BA47" s="3">
        <v>222949.39</v>
      </c>
      <c r="BB47" s="3">
        <v>164661</v>
      </c>
      <c r="BC47" s="3">
        <f t="shared" si="16"/>
        <v>-58288.390000000014</v>
      </c>
      <c r="BD47" s="32">
        <f t="shared" si="17"/>
        <v>0.73855775070745877</v>
      </c>
      <c r="BF47" s="3">
        <v>707332</v>
      </c>
      <c r="BH47" s="3">
        <v>151143.66</v>
      </c>
      <c r="BI47" s="3">
        <v>326730</v>
      </c>
      <c r="BJ47" s="3">
        <f t="shared" si="18"/>
        <v>175586.34</v>
      </c>
      <c r="BK47" s="32">
        <f t="shared" si="19"/>
        <v>2.1617181957880338</v>
      </c>
      <c r="BM47" s="3">
        <v>315654</v>
      </c>
      <c r="BO47" s="3">
        <v>174194.7</v>
      </c>
      <c r="BP47" s="3">
        <f>541072</f>
        <v>541072</v>
      </c>
      <c r="BQ47" s="3">
        <f t="shared" si="20"/>
        <v>366877.3</v>
      </c>
      <c r="BR47" s="32">
        <f t="shared" si="21"/>
        <v>3.1061335390801212</v>
      </c>
      <c r="BT47" s="3">
        <f>708558-131568</f>
        <v>576990</v>
      </c>
      <c r="BV47" s="3">
        <v>106580.59999999999</v>
      </c>
      <c r="BW47" s="34">
        <f>46253</f>
        <v>46253</v>
      </c>
      <c r="BX47" s="3">
        <f t="shared" si="22"/>
        <v>-60327.599999999991</v>
      </c>
      <c r="BY47" s="32">
        <f t="shared" si="23"/>
        <v>0.43397203618669816</v>
      </c>
      <c r="CA47" s="3">
        <v>237976</v>
      </c>
      <c r="CC47" s="3">
        <v>98417.76999999999</v>
      </c>
      <c r="CD47" s="3">
        <v>447492</v>
      </c>
      <c r="CE47" s="3">
        <f t="shared" si="24"/>
        <v>349074.23</v>
      </c>
      <c r="CF47" s="32">
        <f t="shared" si="25"/>
        <v>4.5468618116423496</v>
      </c>
      <c r="CH47" s="3">
        <f>356994-104</f>
        <v>356890</v>
      </c>
      <c r="CJ47" s="3">
        <f t="shared" si="26"/>
        <v>1577217.02</v>
      </c>
      <c r="CK47" s="3">
        <f t="shared" si="37"/>
        <v>3834940</v>
      </c>
      <c r="CL47" s="3">
        <f t="shared" si="27"/>
        <v>2257722.98</v>
      </c>
      <c r="CM47" s="32">
        <f t="shared" si="28"/>
        <v>2.4314599394825196</v>
      </c>
      <c r="CO47" s="3">
        <f>CH47+CA47+BT47+BM47+BF47+AY47+AR47+AK47+AD47+W47+P47+I47</f>
        <v>4308922</v>
      </c>
      <c r="CQ47" s="3">
        <f t="shared" si="1"/>
        <v>1577217.02</v>
      </c>
      <c r="CR47" s="3">
        <f t="shared" si="1"/>
        <v>3834940</v>
      </c>
      <c r="CS47" s="3">
        <f t="shared" si="29"/>
        <v>2257722.98</v>
      </c>
      <c r="CT47" s="32">
        <f t="shared" si="30"/>
        <v>2.4314599394825196</v>
      </c>
      <c r="CV47" s="3">
        <f t="shared" si="31"/>
        <v>4308922</v>
      </c>
      <c r="CX47" s="3">
        <f t="shared" si="32"/>
        <v>379193.06999999995</v>
      </c>
      <c r="CY47" s="3">
        <f t="shared" si="33"/>
        <v>379193.06999999995</v>
      </c>
      <c r="CZ47" s="3">
        <f t="shared" si="34"/>
        <v>436072.03049999994</v>
      </c>
      <c r="DA47" s="3">
        <f t="shared" si="35"/>
        <v>4271012.0305000003</v>
      </c>
    </row>
    <row r="48" spans="1:105" s="31" customFormat="1" ht="16.5" customHeight="1" x14ac:dyDescent="0.3">
      <c r="A48" s="29">
        <v>33</v>
      </c>
      <c r="B48" s="30" t="s">
        <v>33</v>
      </c>
      <c r="D48" s="45">
        <v>0</v>
      </c>
      <c r="E48" s="3">
        <v>0</v>
      </c>
      <c r="F48" s="3">
        <f t="shared" si="2"/>
        <v>0</v>
      </c>
      <c r="G48" s="32">
        <f t="shared" si="3"/>
        <v>0</v>
      </c>
      <c r="I48" s="3">
        <v>0</v>
      </c>
      <c r="K48" s="33"/>
      <c r="L48" s="3"/>
      <c r="M48" s="3">
        <f t="shared" si="4"/>
        <v>0</v>
      </c>
      <c r="N48" s="32">
        <f t="shared" si="5"/>
        <v>0</v>
      </c>
      <c r="P48" s="3">
        <v>0</v>
      </c>
      <c r="R48" s="3"/>
      <c r="S48" s="3"/>
      <c r="T48" s="3">
        <f t="shared" si="6"/>
        <v>0</v>
      </c>
      <c r="U48" s="32">
        <f t="shared" si="7"/>
        <v>0</v>
      </c>
      <c r="W48" s="3">
        <v>0</v>
      </c>
      <c r="Y48" s="3"/>
      <c r="Z48" s="34"/>
      <c r="AA48" s="3">
        <f t="shared" si="8"/>
        <v>0</v>
      </c>
      <c r="AB48" s="32">
        <f t="shared" si="9"/>
        <v>0</v>
      </c>
      <c r="AD48" s="3">
        <v>0</v>
      </c>
      <c r="AF48" s="3"/>
      <c r="AG48" s="34"/>
      <c r="AH48" s="3">
        <f t="shared" si="10"/>
        <v>0</v>
      </c>
      <c r="AI48" s="32">
        <f t="shared" si="11"/>
        <v>0</v>
      </c>
      <c r="AK48" s="3">
        <v>0</v>
      </c>
      <c r="AM48" s="3"/>
      <c r="AN48" s="3">
        <v>0</v>
      </c>
      <c r="AO48" s="3">
        <f t="shared" si="12"/>
        <v>0</v>
      </c>
      <c r="AP48" s="32">
        <f t="shared" si="13"/>
        <v>0</v>
      </c>
      <c r="AR48" s="3">
        <v>0</v>
      </c>
      <c r="AT48" s="3">
        <v>0</v>
      </c>
      <c r="AU48" s="3">
        <v>0</v>
      </c>
      <c r="AV48" s="3">
        <f t="shared" si="14"/>
        <v>0</v>
      </c>
      <c r="AW48" s="32">
        <f t="shared" si="15"/>
        <v>0</v>
      </c>
      <c r="AY48" s="3">
        <v>0</v>
      </c>
      <c r="BA48" s="3">
        <v>0</v>
      </c>
      <c r="BB48" s="3">
        <v>0</v>
      </c>
      <c r="BC48" s="3">
        <f t="shared" si="16"/>
        <v>0</v>
      </c>
      <c r="BD48" s="32">
        <f t="shared" si="17"/>
        <v>0</v>
      </c>
      <c r="BF48" s="3"/>
      <c r="BH48" s="3">
        <v>0</v>
      </c>
      <c r="BI48" s="3"/>
      <c r="BJ48" s="3">
        <f>BI48-BH48</f>
        <v>0</v>
      </c>
      <c r="BK48" s="32">
        <f>IFERROR(BI48/BH48,0)</f>
        <v>0</v>
      </c>
      <c r="BM48" s="3"/>
      <c r="BO48" s="3">
        <v>0</v>
      </c>
      <c r="BP48" s="3"/>
      <c r="BQ48" s="3">
        <f t="shared" si="20"/>
        <v>0</v>
      </c>
      <c r="BR48" s="32">
        <f t="shared" si="21"/>
        <v>0</v>
      </c>
      <c r="BT48" s="3"/>
      <c r="BV48" s="3">
        <v>0</v>
      </c>
      <c r="BW48" s="34"/>
      <c r="BX48" s="3">
        <f t="shared" si="22"/>
        <v>0</v>
      </c>
      <c r="BY48" s="32">
        <f t="shared" si="23"/>
        <v>0</v>
      </c>
      <c r="CA48" s="3"/>
      <c r="CC48" s="3">
        <v>0</v>
      </c>
      <c r="CD48" s="3"/>
      <c r="CE48" s="3">
        <f t="shared" si="24"/>
        <v>0</v>
      </c>
      <c r="CF48" s="32">
        <f t="shared" si="25"/>
        <v>0</v>
      </c>
      <c r="CH48" s="3"/>
      <c r="CJ48" s="3">
        <f t="shared" si="26"/>
        <v>0</v>
      </c>
      <c r="CK48" s="3">
        <f t="shared" si="37"/>
        <v>0</v>
      </c>
      <c r="CL48" s="3">
        <f t="shared" si="27"/>
        <v>0</v>
      </c>
      <c r="CM48" s="32">
        <f t="shared" si="28"/>
        <v>0</v>
      </c>
      <c r="CO48" s="3">
        <f>+I48+P48+W48+AD48+AK48+AR48</f>
        <v>0</v>
      </c>
      <c r="CQ48" s="3">
        <f t="shared" si="1"/>
        <v>0</v>
      </c>
      <c r="CR48" s="3">
        <f>+E48+L48+S48+Z48+AG48+AN48+AU48+BB48+BI48+BP48+BW48+CD48</f>
        <v>0</v>
      </c>
      <c r="CS48" s="3">
        <f t="shared" si="29"/>
        <v>0</v>
      </c>
      <c r="CT48" s="32">
        <f t="shared" si="30"/>
        <v>0</v>
      </c>
      <c r="CV48" s="3">
        <f t="shared" si="31"/>
        <v>0</v>
      </c>
      <c r="CX48" s="3">
        <f t="shared" si="32"/>
        <v>0</v>
      </c>
      <c r="CY48" s="3">
        <f t="shared" si="33"/>
        <v>0</v>
      </c>
      <c r="CZ48" s="3">
        <f t="shared" si="34"/>
        <v>0</v>
      </c>
      <c r="DA48" s="3">
        <f t="shared" si="35"/>
        <v>0</v>
      </c>
    </row>
    <row r="49" spans="1:106" s="31" customFormat="1" ht="16.5" customHeight="1" x14ac:dyDescent="0.3">
      <c r="A49" s="29">
        <v>34</v>
      </c>
      <c r="B49" s="30" t="s">
        <v>34</v>
      </c>
      <c r="D49" s="3">
        <v>649458.28</v>
      </c>
      <c r="E49" s="3">
        <v>1130547.19</v>
      </c>
      <c r="F49" s="3">
        <f t="shared" si="2"/>
        <v>481088.90999999992</v>
      </c>
      <c r="G49" s="32">
        <f t="shared" si="3"/>
        <v>1.740754140512305</v>
      </c>
      <c r="I49" s="3">
        <v>975917.3600000001</v>
      </c>
      <c r="K49" s="33">
        <v>619199.93000000005</v>
      </c>
      <c r="L49" s="3">
        <f>2263682.61-127385.5</f>
        <v>2136297.11</v>
      </c>
      <c r="M49" s="3">
        <f t="shared" si="4"/>
        <v>1517097.1799999997</v>
      </c>
      <c r="N49" s="32">
        <f t="shared" si="5"/>
        <v>3.450092621941995</v>
      </c>
      <c r="P49" s="3">
        <v>946789.44</v>
      </c>
      <c r="R49" s="9">
        <v>45919.519999999997</v>
      </c>
      <c r="S49" s="3">
        <f>1409068.01-127829.75</f>
        <v>1281238.26</v>
      </c>
      <c r="T49" s="3">
        <f t="shared" si="6"/>
        <v>1235318.74</v>
      </c>
      <c r="U49" s="32">
        <f t="shared" si="7"/>
        <v>27.901821708937725</v>
      </c>
      <c r="W49" s="3">
        <v>948450.15999999992</v>
      </c>
      <c r="Y49" s="3">
        <v>594940.13</v>
      </c>
      <c r="Z49" s="34">
        <f>993910.22-137521.99</f>
        <v>856388.23</v>
      </c>
      <c r="AA49" s="3">
        <f t="shared" si="8"/>
        <v>261448.09999999998</v>
      </c>
      <c r="AB49" s="32">
        <f t="shared" si="9"/>
        <v>1.439452789980733</v>
      </c>
      <c r="AD49" s="3">
        <v>640624</v>
      </c>
      <c r="AF49" s="3">
        <v>492120.31000000006</v>
      </c>
      <c r="AG49" s="34">
        <f>1008447.22-154578</f>
        <v>853869.22</v>
      </c>
      <c r="AH49" s="3">
        <f t="shared" si="10"/>
        <v>361748.90999999992</v>
      </c>
      <c r="AI49" s="32">
        <f t="shared" si="11"/>
        <v>1.735082260677272</v>
      </c>
      <c r="AK49" s="3">
        <v>803633.26</v>
      </c>
      <c r="AM49" s="3">
        <v>528330.49999999988</v>
      </c>
      <c r="AN49" s="3">
        <f>934630.23-129565</f>
        <v>805065.23</v>
      </c>
      <c r="AO49" s="3">
        <f t="shared" si="12"/>
        <v>276734.7300000001</v>
      </c>
      <c r="AP49" s="32">
        <f t="shared" si="13"/>
        <v>1.523790941465617</v>
      </c>
      <c r="AR49" s="3">
        <v>887583.01</v>
      </c>
      <c r="AT49" s="3">
        <v>614420.02</v>
      </c>
      <c r="AU49" s="3">
        <f>1004123.92-145905.5</f>
        <v>858218.42</v>
      </c>
      <c r="AV49" s="3">
        <f t="shared" si="14"/>
        <v>243798.40000000002</v>
      </c>
      <c r="AW49" s="32">
        <f t="shared" si="15"/>
        <v>1.3967943622670369</v>
      </c>
      <c r="AY49" s="3">
        <v>1213573.04</v>
      </c>
      <c r="BA49" s="3">
        <v>743029.04999999993</v>
      </c>
      <c r="BB49" s="3">
        <f>1634214.3-176857.79</f>
        <v>1457356.51</v>
      </c>
      <c r="BC49" s="3">
        <f t="shared" si="16"/>
        <v>714327.46000000008</v>
      </c>
      <c r="BD49" s="32">
        <f t="shared" si="17"/>
        <v>1.9613721832275604</v>
      </c>
      <c r="BF49" s="3">
        <v>1428287.54</v>
      </c>
      <c r="BH49" s="3">
        <v>622606.36000000022</v>
      </c>
      <c r="BI49" s="3">
        <f>968922.05-136124.5</f>
        <v>832797.55</v>
      </c>
      <c r="BJ49" s="3">
        <f>BI49-BH49</f>
        <v>210191.18999999983</v>
      </c>
      <c r="BK49" s="32">
        <f>IFERROR(BI49/BH49,0)</f>
        <v>1.3375988481710976</v>
      </c>
      <c r="BM49" s="3">
        <v>558676.93999999994</v>
      </c>
      <c r="BO49" s="3">
        <v>587843.27</v>
      </c>
      <c r="BP49" s="3">
        <f>1623159.1-128932.5</f>
        <v>1494226.6</v>
      </c>
      <c r="BQ49" s="3">
        <f t="shared" si="20"/>
        <v>906383.33000000007</v>
      </c>
      <c r="BR49" s="32">
        <f t="shared" si="21"/>
        <v>2.5418792325376116</v>
      </c>
      <c r="BT49" s="3">
        <f>1446943.88-181163.83</f>
        <v>1265780.0499999998</v>
      </c>
      <c r="BV49" s="3">
        <v>474077.70999999996</v>
      </c>
      <c r="BW49" s="34">
        <f>1030766.3-106221.5</f>
        <v>924544.8</v>
      </c>
      <c r="BX49" s="3">
        <f t="shared" si="22"/>
        <v>450467.09000000008</v>
      </c>
      <c r="BY49" s="32">
        <f t="shared" si="23"/>
        <v>1.9501967304052328</v>
      </c>
      <c r="CA49" s="3">
        <f>764593.92-78464</f>
        <v>686129.92</v>
      </c>
      <c r="CC49" s="3">
        <v>283741.63999999996</v>
      </c>
      <c r="CD49" s="3">
        <f>490683.09-49267.5</f>
        <v>441415.59</v>
      </c>
      <c r="CE49" s="3">
        <f t="shared" si="24"/>
        <v>157673.95000000007</v>
      </c>
      <c r="CF49" s="32">
        <f t="shared" si="25"/>
        <v>1.5556954911517396</v>
      </c>
      <c r="CH49" s="3">
        <f>531955.61-42425</f>
        <v>489530.61</v>
      </c>
      <c r="CJ49" s="3">
        <f t="shared" si="26"/>
        <v>6255686.7200000007</v>
      </c>
      <c r="CK49" s="3">
        <f t="shared" si="37"/>
        <v>13071964.709999999</v>
      </c>
      <c r="CL49" s="3">
        <f t="shared" si="27"/>
        <v>6816277.9899999984</v>
      </c>
      <c r="CM49" s="32">
        <f t="shared" si="28"/>
        <v>2.0896130664932016</v>
      </c>
      <c r="CO49" s="3">
        <f t="shared" ref="CO49:CO56" si="39">CH49+CA49+BT49+BM49+BF49+AY49+AR49+AK49+AD49+W49+P49+I49</f>
        <v>10844975.329999998</v>
      </c>
      <c r="CQ49" s="3">
        <f t="shared" si="1"/>
        <v>6255686.7200000007</v>
      </c>
      <c r="CR49" s="3">
        <f>+E49+L49+S49+Z49+AG49+AN49+AU49+BB49+BI49+BP49+BW49+CD49</f>
        <v>13071964.709999999</v>
      </c>
      <c r="CS49" s="3">
        <f t="shared" si="29"/>
        <v>6816277.9899999984</v>
      </c>
      <c r="CT49" s="32">
        <f t="shared" si="30"/>
        <v>2.0896130664932016</v>
      </c>
      <c r="CV49" s="3">
        <f t="shared" si="31"/>
        <v>10844975.33</v>
      </c>
      <c r="CX49" s="3">
        <f t="shared" si="32"/>
        <v>1345662.6199999999</v>
      </c>
      <c r="CY49" s="3">
        <f t="shared" si="33"/>
        <v>1345662.6199999999</v>
      </c>
      <c r="CZ49" s="3">
        <f t="shared" si="34"/>
        <v>1547512.0129999998</v>
      </c>
      <c r="DA49" s="3">
        <f t="shared" si="35"/>
        <v>14619476.722999999</v>
      </c>
    </row>
    <row r="50" spans="1:106" s="26" customFormat="1" ht="16.5" customHeight="1" x14ac:dyDescent="0.3">
      <c r="A50" s="35"/>
      <c r="B50" s="36" t="s">
        <v>35</v>
      </c>
      <c r="D50" s="5">
        <f>D51</f>
        <v>33266.949999999997</v>
      </c>
      <c r="E50" s="5">
        <f>E51</f>
        <v>16109.05</v>
      </c>
      <c r="F50" s="5">
        <f t="shared" si="2"/>
        <v>-17157.899999999998</v>
      </c>
      <c r="G50" s="37">
        <f t="shared" si="3"/>
        <v>0.4842358557066398</v>
      </c>
      <c r="I50" s="5">
        <f>SUM(I51)</f>
        <v>42091.7</v>
      </c>
      <c r="K50" s="42">
        <v>45492.65</v>
      </c>
      <c r="L50" s="5">
        <f>L51</f>
        <v>8702.66</v>
      </c>
      <c r="M50" s="5">
        <f t="shared" si="4"/>
        <v>-36789.990000000005</v>
      </c>
      <c r="N50" s="37">
        <f t="shared" si="5"/>
        <v>0.19129815475686732</v>
      </c>
      <c r="P50" s="5">
        <f>SUM(P51)</f>
        <v>48286.87</v>
      </c>
      <c r="R50" s="3">
        <v>45919.519999999997</v>
      </c>
      <c r="S50" s="5">
        <f>S51</f>
        <v>11963.89</v>
      </c>
      <c r="T50" s="5">
        <f t="shared" si="6"/>
        <v>-33955.629999999997</v>
      </c>
      <c r="U50" s="37">
        <f t="shared" si="7"/>
        <v>0.26054039763481851</v>
      </c>
      <c r="W50" s="5">
        <f>SUM(W51)</f>
        <v>71779.53</v>
      </c>
      <c r="Y50" s="5">
        <f>Y51</f>
        <v>79308.710000000006</v>
      </c>
      <c r="Z50" s="5">
        <f>Z51</f>
        <v>64375.47</v>
      </c>
      <c r="AA50" s="5">
        <f t="shared" si="8"/>
        <v>-14933.240000000005</v>
      </c>
      <c r="AB50" s="37">
        <f t="shared" si="9"/>
        <v>0.81170744045641385</v>
      </c>
      <c r="AD50" s="5">
        <f>SUM(AD51)</f>
        <v>117439.43000000001</v>
      </c>
      <c r="AF50" s="5">
        <v>22379.17</v>
      </c>
      <c r="AG50" s="5">
        <f>AG51</f>
        <v>16182.55</v>
      </c>
      <c r="AH50" s="5">
        <f t="shared" si="10"/>
        <v>-6196.619999999999</v>
      </c>
      <c r="AI50" s="37">
        <f t="shared" si="11"/>
        <v>0.72310769344886339</v>
      </c>
      <c r="AK50" s="5">
        <f>SUM(AK51)</f>
        <v>17669.7</v>
      </c>
      <c r="AM50" s="5">
        <v>15046.08</v>
      </c>
      <c r="AN50" s="5">
        <f>AN51</f>
        <v>98455.84</v>
      </c>
      <c r="AO50" s="5">
        <f t="shared" si="12"/>
        <v>83409.759999999995</v>
      </c>
      <c r="AP50" s="37">
        <f t="shared" si="13"/>
        <v>6.543620663986899</v>
      </c>
      <c r="AR50" s="5">
        <f>SUM(AR51)</f>
        <v>14410.6</v>
      </c>
      <c r="AT50" s="5">
        <v>31307.53</v>
      </c>
      <c r="AU50" s="5">
        <f>AU51</f>
        <v>7683.94</v>
      </c>
      <c r="AV50" s="5">
        <f t="shared" si="14"/>
        <v>-23623.59</v>
      </c>
      <c r="AW50" s="37">
        <f t="shared" si="15"/>
        <v>0.24543424537164063</v>
      </c>
      <c r="AY50" s="5">
        <f>SUM(AY51)</f>
        <v>39462.97</v>
      </c>
      <c r="BA50" s="5">
        <f>SUM(BA51)</f>
        <v>35775.620000000003</v>
      </c>
      <c r="BB50" s="5">
        <v>5199.66</v>
      </c>
      <c r="BC50" s="5">
        <f t="shared" si="16"/>
        <v>-30575.960000000003</v>
      </c>
      <c r="BD50" s="37">
        <f t="shared" si="17"/>
        <v>0.14534087739080412</v>
      </c>
      <c r="BF50" s="5">
        <f>SUM(BF51)</f>
        <v>15482.74</v>
      </c>
      <c r="BH50" s="4">
        <f>SUM(BH51)</f>
        <v>75584.539999999994</v>
      </c>
      <c r="BI50" s="4">
        <f>SUM(BI51)</f>
        <v>28271.649999999998</v>
      </c>
      <c r="BJ50" s="5">
        <f t="shared" si="18"/>
        <v>-47312.89</v>
      </c>
      <c r="BK50" s="37">
        <f t="shared" si="19"/>
        <v>0.37404011455252623</v>
      </c>
      <c r="BM50" s="5">
        <f>SUM(BM51)</f>
        <v>39003.300000000003</v>
      </c>
      <c r="BO50" s="4">
        <f>SUM(BO51)</f>
        <v>36779.85</v>
      </c>
      <c r="BP50" s="4">
        <f>SUM(BP51)</f>
        <v>3614.15</v>
      </c>
      <c r="BQ50" s="5">
        <f t="shared" si="20"/>
        <v>-33165.699999999997</v>
      </c>
      <c r="BR50" s="37">
        <f t="shared" si="21"/>
        <v>9.8264402927146249E-2</v>
      </c>
      <c r="BT50" s="5">
        <f>SUM(BT51)</f>
        <v>13216.96</v>
      </c>
      <c r="BV50" s="4">
        <f>SUM(BV51)</f>
        <v>32239.919999999998</v>
      </c>
      <c r="BW50" s="4">
        <f>SUM(BW51)</f>
        <v>1963.46</v>
      </c>
      <c r="BX50" s="5">
        <f t="shared" si="22"/>
        <v>-30276.46</v>
      </c>
      <c r="BY50" s="37">
        <f t="shared" si="23"/>
        <v>6.0901515884654804E-2</v>
      </c>
      <c r="CA50" s="5">
        <f>SUM(CA51)</f>
        <v>29531.34</v>
      </c>
      <c r="CC50" s="4">
        <f>SUM(CC51)</f>
        <v>23370.46</v>
      </c>
      <c r="CD50" s="5">
        <f>CD51</f>
        <v>12842.55</v>
      </c>
      <c r="CE50" s="5">
        <f t="shared" si="24"/>
        <v>-10527.91</v>
      </c>
      <c r="CF50" s="37">
        <f t="shared" si="25"/>
        <v>0.54952063416809083</v>
      </c>
      <c r="CH50" s="5">
        <f>SUM(CH51)</f>
        <v>6561.47</v>
      </c>
      <c r="CJ50" s="5">
        <f t="shared" si="26"/>
        <v>476470.99999999994</v>
      </c>
      <c r="CK50" s="4">
        <f>SUM(CK51)</f>
        <v>275364.87</v>
      </c>
      <c r="CL50" s="5">
        <f t="shared" si="27"/>
        <v>-201106.12999999995</v>
      </c>
      <c r="CM50" s="37">
        <f t="shared" si="28"/>
        <v>0.57792577092834618</v>
      </c>
      <c r="CO50" s="4">
        <f t="shared" si="39"/>
        <v>454936.61000000004</v>
      </c>
      <c r="CQ50" s="5">
        <f t="shared" si="1"/>
        <v>476470.99999999994</v>
      </c>
      <c r="CR50" s="5">
        <f t="shared" si="1"/>
        <v>275364.87</v>
      </c>
      <c r="CS50" s="5">
        <f t="shared" si="29"/>
        <v>-201106.12999999995</v>
      </c>
      <c r="CT50" s="37">
        <f t="shared" si="30"/>
        <v>0.57792577092834618</v>
      </c>
      <c r="CV50" s="5">
        <f t="shared" si="31"/>
        <v>454936.61000000004</v>
      </c>
      <c r="CX50" s="5">
        <f t="shared" si="32"/>
        <v>92390.229999999981</v>
      </c>
      <c r="CY50" s="5">
        <f t="shared" si="33"/>
        <v>92390.229999999981</v>
      </c>
      <c r="CZ50" s="5">
        <f t="shared" si="34"/>
        <v>106248.76449999998</v>
      </c>
      <c r="DA50" s="5">
        <f t="shared" si="35"/>
        <v>381613.63449999999</v>
      </c>
    </row>
    <row r="51" spans="1:106" s="31" customFormat="1" ht="16.5" customHeight="1" x14ac:dyDescent="0.3">
      <c r="A51" s="29">
        <v>35</v>
      </c>
      <c r="B51" s="30" t="s">
        <v>36</v>
      </c>
      <c r="D51" s="3">
        <v>33266.949999999997</v>
      </c>
      <c r="E51" s="3">
        <f>16401.05-292</f>
        <v>16109.05</v>
      </c>
      <c r="F51" s="3">
        <f t="shared" si="2"/>
        <v>-17157.899999999998</v>
      </c>
      <c r="G51" s="32">
        <f t="shared" si="3"/>
        <v>0.4842358557066398</v>
      </c>
      <c r="I51" s="3">
        <v>42091.7</v>
      </c>
      <c r="K51" s="33">
        <v>45492.65</v>
      </c>
      <c r="L51" s="3">
        <f>8932.17-229.51</f>
        <v>8702.66</v>
      </c>
      <c r="M51" s="3">
        <f t="shared" si="4"/>
        <v>-36789.990000000005</v>
      </c>
      <c r="N51" s="32">
        <f t="shared" si="5"/>
        <v>0.19129815475686732</v>
      </c>
      <c r="P51" s="3">
        <v>48286.87</v>
      </c>
      <c r="R51" s="3">
        <v>4274.42</v>
      </c>
      <c r="S51" s="3">
        <v>11963.89</v>
      </c>
      <c r="T51" s="3">
        <f t="shared" si="6"/>
        <v>7689.4699999999993</v>
      </c>
      <c r="U51" s="32">
        <f t="shared" si="7"/>
        <v>2.79895050088667</v>
      </c>
      <c r="W51" s="3">
        <v>71779.53</v>
      </c>
      <c r="Y51" s="3">
        <v>79308.710000000006</v>
      </c>
      <c r="Z51" s="34">
        <v>64375.47</v>
      </c>
      <c r="AA51" s="3">
        <f t="shared" si="8"/>
        <v>-14933.240000000005</v>
      </c>
      <c r="AB51" s="32">
        <f t="shared" si="9"/>
        <v>0.81170744045641385</v>
      </c>
      <c r="AD51" s="3">
        <v>117439.43000000001</v>
      </c>
      <c r="AF51" s="3">
        <v>22379.17</v>
      </c>
      <c r="AG51" s="34">
        <v>16182.55</v>
      </c>
      <c r="AH51" s="3">
        <f t="shared" si="10"/>
        <v>-6196.619999999999</v>
      </c>
      <c r="AI51" s="32">
        <f t="shared" si="11"/>
        <v>0.72310769344886339</v>
      </c>
      <c r="AK51" s="3">
        <v>17669.7</v>
      </c>
      <c r="AM51" s="3">
        <v>15046.08</v>
      </c>
      <c r="AN51" s="3">
        <v>98455.84</v>
      </c>
      <c r="AO51" s="3">
        <f t="shared" si="12"/>
        <v>83409.759999999995</v>
      </c>
      <c r="AP51" s="32">
        <f t="shared" si="13"/>
        <v>6.543620663986899</v>
      </c>
      <c r="AR51" s="3">
        <v>14410.6</v>
      </c>
      <c r="AT51" s="9">
        <v>31307.53</v>
      </c>
      <c r="AU51" s="9">
        <v>7683.94</v>
      </c>
      <c r="AV51" s="3">
        <f t="shared" si="14"/>
        <v>-23623.59</v>
      </c>
      <c r="AW51" s="32">
        <f t="shared" si="15"/>
        <v>0.24543424537164063</v>
      </c>
      <c r="AY51" s="9">
        <v>39462.97</v>
      </c>
      <c r="BA51" s="3">
        <v>35775.620000000003</v>
      </c>
      <c r="BB51" s="3">
        <v>5199.66</v>
      </c>
      <c r="BC51" s="3">
        <f t="shared" si="16"/>
        <v>-30575.960000000003</v>
      </c>
      <c r="BD51" s="32">
        <f t="shared" si="17"/>
        <v>0.14534087739080412</v>
      </c>
      <c r="BF51" s="3">
        <v>15482.74</v>
      </c>
      <c r="BH51" s="3">
        <v>75584.539999999994</v>
      </c>
      <c r="BI51" s="3">
        <f>47724.09-19452.44</f>
        <v>28271.649999999998</v>
      </c>
      <c r="BJ51" s="3">
        <f t="shared" si="18"/>
        <v>-47312.89</v>
      </c>
      <c r="BK51" s="32">
        <f t="shared" si="19"/>
        <v>0.37404011455252623</v>
      </c>
      <c r="BM51" s="3">
        <v>39003.300000000003</v>
      </c>
      <c r="BO51" s="3">
        <v>36779.85</v>
      </c>
      <c r="BP51" s="3">
        <f>3614.15</f>
        <v>3614.15</v>
      </c>
      <c r="BQ51" s="3">
        <f t="shared" si="20"/>
        <v>-33165.699999999997</v>
      </c>
      <c r="BR51" s="32">
        <f t="shared" si="21"/>
        <v>9.8264402927146249E-2</v>
      </c>
      <c r="BT51" s="3">
        <v>13216.96</v>
      </c>
      <c r="BV51" s="3">
        <v>32239.919999999998</v>
      </c>
      <c r="BW51" s="34">
        <f>2168.08-204.62</f>
        <v>1963.46</v>
      </c>
      <c r="BX51" s="3">
        <f t="shared" si="22"/>
        <v>-30276.46</v>
      </c>
      <c r="BY51" s="32">
        <f t="shared" si="23"/>
        <v>6.0901515884654804E-2</v>
      </c>
      <c r="CA51" s="3">
        <v>29531.34</v>
      </c>
      <c r="CC51" s="3">
        <v>23370.46</v>
      </c>
      <c r="CD51" s="3">
        <v>12842.55</v>
      </c>
      <c r="CE51" s="3">
        <f t="shared" si="24"/>
        <v>-10527.91</v>
      </c>
      <c r="CF51" s="32">
        <f t="shared" si="25"/>
        <v>0.54952063416809083</v>
      </c>
      <c r="CH51" s="3">
        <v>6561.47</v>
      </c>
      <c r="CJ51" s="3">
        <f t="shared" si="26"/>
        <v>434825.89999999997</v>
      </c>
      <c r="CK51" s="3">
        <f t="shared" si="37"/>
        <v>275364.87</v>
      </c>
      <c r="CL51" s="3">
        <f t="shared" si="27"/>
        <v>-159461.02999999997</v>
      </c>
      <c r="CM51" s="32">
        <f t="shared" si="28"/>
        <v>0.63327614569417323</v>
      </c>
      <c r="CO51" s="3">
        <f t="shared" si="39"/>
        <v>454936.61000000004</v>
      </c>
      <c r="CQ51" s="3">
        <f t="shared" si="1"/>
        <v>434825.89999999997</v>
      </c>
      <c r="CR51" s="3">
        <f t="shared" si="1"/>
        <v>275364.87</v>
      </c>
      <c r="CS51" s="3">
        <f t="shared" si="29"/>
        <v>-159461.02999999997</v>
      </c>
      <c r="CT51" s="32">
        <f t="shared" si="30"/>
        <v>0.63327614569417323</v>
      </c>
      <c r="CV51" s="3">
        <f t="shared" si="31"/>
        <v>454936.61000000004</v>
      </c>
      <c r="CX51" s="3">
        <f t="shared" si="32"/>
        <v>92390.229999999981</v>
      </c>
      <c r="CY51" s="3">
        <f t="shared" si="33"/>
        <v>92390.229999999981</v>
      </c>
      <c r="CZ51" s="3">
        <f t="shared" si="34"/>
        <v>106248.76449999998</v>
      </c>
      <c r="DA51" s="3">
        <f t="shared" si="35"/>
        <v>381613.63449999999</v>
      </c>
    </row>
    <row r="52" spans="1:106" s="26" customFormat="1" ht="16.5" customHeight="1" x14ac:dyDescent="0.3">
      <c r="A52" s="35"/>
      <c r="B52" s="36" t="s">
        <v>37</v>
      </c>
      <c r="D52" s="5">
        <f>D53</f>
        <v>5412.6</v>
      </c>
      <c r="E52" s="5">
        <f>E53</f>
        <v>5328</v>
      </c>
      <c r="F52" s="5">
        <f t="shared" si="2"/>
        <v>-84.600000000000364</v>
      </c>
      <c r="G52" s="37">
        <f t="shared" si="3"/>
        <v>0.98436980379115391</v>
      </c>
      <c r="I52" s="5">
        <f>SUM(I53)</f>
        <v>8370</v>
      </c>
      <c r="K52" s="42">
        <v>5451.14</v>
      </c>
      <c r="L52" s="5">
        <f>L53</f>
        <v>6192</v>
      </c>
      <c r="M52" s="5">
        <f t="shared" si="4"/>
        <v>740.85999999999967</v>
      </c>
      <c r="N52" s="37">
        <f t="shared" si="5"/>
        <v>1.1359091859684396</v>
      </c>
      <c r="P52" s="5">
        <f>SUM(P53)</f>
        <v>5940</v>
      </c>
      <c r="R52" s="5">
        <v>4274.42</v>
      </c>
      <c r="S52" s="5">
        <f>S53</f>
        <v>3600</v>
      </c>
      <c r="T52" s="5">
        <f t="shared" si="6"/>
        <v>-674.42000000000007</v>
      </c>
      <c r="U52" s="37">
        <f t="shared" si="7"/>
        <v>0.84221952919928311</v>
      </c>
      <c r="W52" s="5">
        <f>SUM(W53)</f>
        <v>6075</v>
      </c>
      <c r="Y52" s="5">
        <f>Y53</f>
        <v>3632.98</v>
      </c>
      <c r="Z52" s="5">
        <f>Z53</f>
        <v>7920</v>
      </c>
      <c r="AA52" s="5">
        <f t="shared" si="8"/>
        <v>4287.0200000000004</v>
      </c>
      <c r="AB52" s="37">
        <f t="shared" si="9"/>
        <v>2.1800285165346356</v>
      </c>
      <c r="AD52" s="5">
        <f>SUM(AD53)</f>
        <v>4860</v>
      </c>
      <c r="AF52" s="5">
        <v>3860.05</v>
      </c>
      <c r="AG52" s="5">
        <f>AG53</f>
        <v>16848</v>
      </c>
      <c r="AH52" s="5">
        <f t="shared" si="10"/>
        <v>12987.95</v>
      </c>
      <c r="AI52" s="37">
        <f t="shared" si="11"/>
        <v>4.3647103016800299</v>
      </c>
      <c r="AK52" s="5">
        <f>SUM(AK53)</f>
        <v>6210</v>
      </c>
      <c r="AM52" s="5">
        <v>5396.61</v>
      </c>
      <c r="AN52" s="5">
        <f>AN53</f>
        <v>5904</v>
      </c>
      <c r="AO52" s="5">
        <f t="shared" si="12"/>
        <v>507.39000000000033</v>
      </c>
      <c r="AP52" s="37">
        <f t="shared" si="13"/>
        <v>1.0940201348624414</v>
      </c>
      <c r="AR52" s="5">
        <f>SUM(AR53)</f>
        <v>6885</v>
      </c>
      <c r="AT52" s="5">
        <v>5552.55</v>
      </c>
      <c r="AU52" s="5">
        <f>AU53</f>
        <v>6768</v>
      </c>
      <c r="AV52" s="5">
        <f t="shared" si="14"/>
        <v>1215.4499999999998</v>
      </c>
      <c r="AW52" s="37">
        <f t="shared" si="15"/>
        <v>1.2188994245887024</v>
      </c>
      <c r="AY52" s="5">
        <f>SUM(AY53)</f>
        <v>6222</v>
      </c>
      <c r="BA52" s="5">
        <f>SUM(BA53)</f>
        <v>4344.51</v>
      </c>
      <c r="BB52" s="5">
        <v>9216</v>
      </c>
      <c r="BC52" s="5">
        <f t="shared" si="16"/>
        <v>4871.49</v>
      </c>
      <c r="BD52" s="37">
        <f t="shared" si="17"/>
        <v>2.1212979139189461</v>
      </c>
      <c r="BF52" s="5">
        <f>SUM(BF53)</f>
        <v>4860</v>
      </c>
      <c r="BH52" s="4">
        <f>SUM(BH53)</f>
        <v>6904.59</v>
      </c>
      <c r="BI52" s="4">
        <f>SUM(BI53)</f>
        <v>9360</v>
      </c>
      <c r="BJ52" s="5">
        <f t="shared" si="18"/>
        <v>2455.41</v>
      </c>
      <c r="BK52" s="37">
        <f t="shared" si="19"/>
        <v>1.3556199571589334</v>
      </c>
      <c r="BM52" s="5">
        <f>SUM(BM53)</f>
        <v>6345</v>
      </c>
      <c r="BO52" s="4">
        <f>SUM(BO53)</f>
        <v>5986.6500000000005</v>
      </c>
      <c r="BP52" s="4">
        <f>SUM(BP53)</f>
        <v>11232</v>
      </c>
      <c r="BQ52" s="5">
        <f t="shared" si="20"/>
        <v>5245.3499999999995</v>
      </c>
      <c r="BR52" s="37">
        <f t="shared" si="21"/>
        <v>1.8761744882363256</v>
      </c>
      <c r="BT52" s="5">
        <f>SUM(BT53)</f>
        <v>10530</v>
      </c>
      <c r="BV52" s="4">
        <f>SUM(BV53)</f>
        <v>5281.55</v>
      </c>
      <c r="BW52" s="4">
        <f>SUM(BW53)</f>
        <v>12528</v>
      </c>
      <c r="BX52" s="5">
        <f t="shared" si="22"/>
        <v>7246.45</v>
      </c>
      <c r="BY52" s="37">
        <f t="shared" si="23"/>
        <v>2.3720309378875517</v>
      </c>
      <c r="CA52" s="5">
        <f>SUM(CA53)</f>
        <v>5535</v>
      </c>
      <c r="CC52" s="4">
        <f>SUM(CC53)</f>
        <v>3236.35</v>
      </c>
      <c r="CD52" s="5">
        <f>CD53</f>
        <v>9504</v>
      </c>
      <c r="CE52" s="5">
        <f t="shared" si="24"/>
        <v>6267.65</v>
      </c>
      <c r="CF52" s="37">
        <f t="shared" si="25"/>
        <v>2.9366415869729789</v>
      </c>
      <c r="CH52" s="5">
        <f>SUM(CH53)</f>
        <v>4185</v>
      </c>
      <c r="CJ52" s="5">
        <f t="shared" si="26"/>
        <v>59334.000000000015</v>
      </c>
      <c r="CK52" s="4">
        <f>SUM(CK53)</f>
        <v>104400</v>
      </c>
      <c r="CL52" s="5">
        <f t="shared" si="27"/>
        <v>45065.999999999985</v>
      </c>
      <c r="CM52" s="37">
        <f t="shared" si="28"/>
        <v>1.7595307917888559</v>
      </c>
      <c r="CO52" s="4">
        <f t="shared" si="39"/>
        <v>76017</v>
      </c>
      <c r="CQ52" s="5">
        <f t="shared" si="1"/>
        <v>59334.000000000015</v>
      </c>
      <c r="CR52" s="5">
        <f t="shared" si="1"/>
        <v>104400</v>
      </c>
      <c r="CS52" s="5">
        <f t="shared" si="29"/>
        <v>45065.999999999985</v>
      </c>
      <c r="CT52" s="37">
        <f t="shared" si="30"/>
        <v>1.7595307917888559</v>
      </c>
      <c r="CV52" s="5">
        <f t="shared" si="31"/>
        <v>76017</v>
      </c>
      <c r="CX52" s="5">
        <f t="shared" si="32"/>
        <v>14504.550000000001</v>
      </c>
      <c r="CY52" s="5">
        <f t="shared" si="33"/>
        <v>14504.550000000001</v>
      </c>
      <c r="CZ52" s="5">
        <f t="shared" si="34"/>
        <v>16680.232499999998</v>
      </c>
      <c r="DA52" s="5">
        <f t="shared" si="35"/>
        <v>121080.2325</v>
      </c>
    </row>
    <row r="53" spans="1:106" s="31" customFormat="1" ht="16.5" customHeight="1" x14ac:dyDescent="0.3">
      <c r="A53" s="29">
        <v>36</v>
      </c>
      <c r="B53" s="30" t="s">
        <v>38</v>
      </c>
      <c r="D53" s="3">
        <v>5412.6</v>
      </c>
      <c r="E53" s="3">
        <v>5328</v>
      </c>
      <c r="F53" s="3">
        <f t="shared" si="2"/>
        <v>-84.600000000000364</v>
      </c>
      <c r="G53" s="32">
        <f t="shared" si="3"/>
        <v>0.98436980379115391</v>
      </c>
      <c r="I53" s="3">
        <v>8370</v>
      </c>
      <c r="K53" s="33">
        <v>5451.14</v>
      </c>
      <c r="L53" s="3">
        <v>6192</v>
      </c>
      <c r="M53" s="3">
        <f t="shared" si="4"/>
        <v>740.85999999999967</v>
      </c>
      <c r="N53" s="32">
        <f t="shared" si="5"/>
        <v>1.1359091859684396</v>
      </c>
      <c r="P53" s="3">
        <v>5940</v>
      </c>
      <c r="R53" s="3">
        <v>4274.42</v>
      </c>
      <c r="S53" s="3">
        <v>3600</v>
      </c>
      <c r="T53" s="3">
        <f t="shared" si="6"/>
        <v>-674.42000000000007</v>
      </c>
      <c r="U53" s="32">
        <f t="shared" si="7"/>
        <v>0.84221952919928311</v>
      </c>
      <c r="W53" s="3">
        <v>6075</v>
      </c>
      <c r="Y53" s="3">
        <v>3632.98</v>
      </c>
      <c r="Z53" s="34">
        <f>8064-144</f>
        <v>7920</v>
      </c>
      <c r="AA53" s="3">
        <f t="shared" si="8"/>
        <v>4287.0200000000004</v>
      </c>
      <c r="AB53" s="32">
        <f t="shared" si="9"/>
        <v>2.1800285165346356</v>
      </c>
      <c r="AD53" s="3">
        <v>4860</v>
      </c>
      <c r="AF53" s="3">
        <v>3860.05</v>
      </c>
      <c r="AG53" s="34">
        <v>16848</v>
      </c>
      <c r="AH53" s="3">
        <f t="shared" si="10"/>
        <v>12987.95</v>
      </c>
      <c r="AI53" s="32">
        <f t="shared" si="11"/>
        <v>4.3647103016800299</v>
      </c>
      <c r="AK53" s="3">
        <v>6210</v>
      </c>
      <c r="AM53" s="3">
        <v>5396.61</v>
      </c>
      <c r="AN53" s="3">
        <v>5904</v>
      </c>
      <c r="AO53" s="3">
        <f t="shared" si="12"/>
        <v>507.39000000000033</v>
      </c>
      <c r="AP53" s="32">
        <f t="shared" si="13"/>
        <v>1.0940201348624414</v>
      </c>
      <c r="AR53" s="3">
        <v>6885</v>
      </c>
      <c r="AT53" s="9">
        <v>5552.55</v>
      </c>
      <c r="AU53" s="9">
        <v>6768</v>
      </c>
      <c r="AV53" s="3">
        <f t="shared" si="14"/>
        <v>1215.4499999999998</v>
      </c>
      <c r="AW53" s="32">
        <f t="shared" si="15"/>
        <v>1.2188994245887024</v>
      </c>
      <c r="AY53" s="9">
        <v>6222</v>
      </c>
      <c r="BA53" s="3">
        <v>4344.51</v>
      </c>
      <c r="BB53" s="3">
        <v>9216</v>
      </c>
      <c r="BC53" s="3">
        <f t="shared" si="16"/>
        <v>4871.49</v>
      </c>
      <c r="BD53" s="32">
        <f t="shared" si="17"/>
        <v>2.1212979139189461</v>
      </c>
      <c r="BF53" s="3">
        <v>4860</v>
      </c>
      <c r="BH53" s="3">
        <v>6904.59</v>
      </c>
      <c r="BI53" s="3">
        <v>9360</v>
      </c>
      <c r="BJ53" s="3">
        <f t="shared" si="18"/>
        <v>2455.41</v>
      </c>
      <c r="BK53" s="32">
        <f t="shared" si="19"/>
        <v>1.3556199571589334</v>
      </c>
      <c r="BM53" s="3">
        <v>6345</v>
      </c>
      <c r="BO53" s="3">
        <v>5986.6500000000005</v>
      </c>
      <c r="BP53" s="3">
        <f>11232</f>
        <v>11232</v>
      </c>
      <c r="BQ53" s="3">
        <f t="shared" si="20"/>
        <v>5245.3499999999995</v>
      </c>
      <c r="BR53" s="32">
        <f t="shared" si="21"/>
        <v>1.8761744882363256</v>
      </c>
      <c r="BT53" s="3">
        <f>10665-135</f>
        <v>10530</v>
      </c>
      <c r="BV53" s="3">
        <v>5281.55</v>
      </c>
      <c r="BW53" s="34">
        <f>12528</f>
        <v>12528</v>
      </c>
      <c r="BX53" s="3">
        <f t="shared" si="22"/>
        <v>7246.45</v>
      </c>
      <c r="BY53" s="32">
        <f t="shared" si="23"/>
        <v>2.3720309378875517</v>
      </c>
      <c r="CA53" s="3">
        <v>5535</v>
      </c>
      <c r="CC53" s="3">
        <v>3236.35</v>
      </c>
      <c r="CD53" s="3">
        <v>9504</v>
      </c>
      <c r="CE53" s="3">
        <f t="shared" si="24"/>
        <v>6267.65</v>
      </c>
      <c r="CF53" s="32">
        <f t="shared" si="25"/>
        <v>2.9366415869729789</v>
      </c>
      <c r="CH53" s="3">
        <v>4185</v>
      </c>
      <c r="CJ53" s="3">
        <f t="shared" si="26"/>
        <v>59334.000000000015</v>
      </c>
      <c r="CK53" s="3">
        <f t="shared" si="37"/>
        <v>104400</v>
      </c>
      <c r="CL53" s="3">
        <f t="shared" si="27"/>
        <v>45065.999999999985</v>
      </c>
      <c r="CM53" s="32">
        <f t="shared" si="28"/>
        <v>1.7595307917888559</v>
      </c>
      <c r="CO53" s="3">
        <f t="shared" si="39"/>
        <v>76017</v>
      </c>
      <c r="CQ53" s="3">
        <f t="shared" si="1"/>
        <v>59334.000000000015</v>
      </c>
      <c r="CR53" s="3">
        <f t="shared" si="1"/>
        <v>104400</v>
      </c>
      <c r="CS53" s="3">
        <f t="shared" si="29"/>
        <v>45065.999999999985</v>
      </c>
      <c r="CT53" s="32">
        <f t="shared" si="30"/>
        <v>1.7595307917888559</v>
      </c>
      <c r="CV53" s="3">
        <f t="shared" si="31"/>
        <v>76017</v>
      </c>
      <c r="CX53" s="3">
        <f t="shared" si="32"/>
        <v>14504.550000000001</v>
      </c>
      <c r="CY53" s="3">
        <f t="shared" si="33"/>
        <v>14504.550000000001</v>
      </c>
      <c r="CZ53" s="3">
        <f t="shared" si="34"/>
        <v>16680.232499999998</v>
      </c>
      <c r="DA53" s="3">
        <f t="shared" si="35"/>
        <v>121080.2325</v>
      </c>
    </row>
    <row r="54" spans="1:106" s="26" customFormat="1" ht="16.5" customHeight="1" x14ac:dyDescent="0.3">
      <c r="A54" s="35"/>
      <c r="B54" s="36" t="s">
        <v>39</v>
      </c>
      <c r="D54" s="5">
        <f>D55</f>
        <v>88865.08</v>
      </c>
      <c r="E54" s="5">
        <f>E55</f>
        <v>88442.63</v>
      </c>
      <c r="F54" s="5">
        <f t="shared" si="2"/>
        <v>-422.44999999999709</v>
      </c>
      <c r="G54" s="37">
        <f t="shared" si="3"/>
        <v>0.99524616418507705</v>
      </c>
      <c r="I54" s="5">
        <f>SUM(I55)</f>
        <v>173145.84</v>
      </c>
      <c r="K54" s="42">
        <v>88865.08</v>
      </c>
      <c r="L54" s="5">
        <f>L55</f>
        <v>173270.2</v>
      </c>
      <c r="M54" s="5">
        <f t="shared" si="4"/>
        <v>84405.12000000001</v>
      </c>
      <c r="N54" s="37">
        <f t="shared" si="5"/>
        <v>1.9498120071461142</v>
      </c>
      <c r="P54" s="5">
        <f>SUM(P55)</f>
        <v>7637.8</v>
      </c>
      <c r="R54" s="5">
        <v>88865.08</v>
      </c>
      <c r="S54" s="5">
        <f>S55</f>
        <v>75347.16</v>
      </c>
      <c r="T54" s="5">
        <f t="shared" si="6"/>
        <v>-13517.919999999998</v>
      </c>
      <c r="U54" s="37">
        <f t="shared" si="7"/>
        <v>0.84788265536924068</v>
      </c>
      <c r="W54" s="5">
        <f>SUM(W55)</f>
        <v>633254.02</v>
      </c>
      <c r="Y54" s="5">
        <f>Y55</f>
        <v>88865.08</v>
      </c>
      <c r="Z54" s="5">
        <f>Z55</f>
        <v>62652.3</v>
      </c>
      <c r="AA54" s="5">
        <f t="shared" si="8"/>
        <v>-26212.78</v>
      </c>
      <c r="AB54" s="37">
        <f t="shared" si="9"/>
        <v>0.70502721653995026</v>
      </c>
      <c r="AD54" s="5">
        <f>SUM(AD55)</f>
        <v>152910.78</v>
      </c>
      <c r="AF54" s="5">
        <v>88865.08</v>
      </c>
      <c r="AG54" s="5">
        <f>AG55</f>
        <v>134436.38</v>
      </c>
      <c r="AH54" s="5">
        <f t="shared" si="10"/>
        <v>45571.3</v>
      </c>
      <c r="AI54" s="37">
        <f t="shared" si="11"/>
        <v>1.5128144823590999</v>
      </c>
      <c r="AK54" s="5">
        <f>SUM(AK55)</f>
        <v>165148.54</v>
      </c>
      <c r="AM54" s="5">
        <v>88865.08</v>
      </c>
      <c r="AN54" s="5">
        <f>AN55</f>
        <v>102165.65</v>
      </c>
      <c r="AO54" s="5">
        <f t="shared" si="12"/>
        <v>13300.569999999992</v>
      </c>
      <c r="AP54" s="37">
        <f t="shared" si="13"/>
        <v>1.1496715020118138</v>
      </c>
      <c r="AR54" s="5">
        <f>SUM(AR55)</f>
        <v>93979.28</v>
      </c>
      <c r="AT54" s="5">
        <v>88865.08</v>
      </c>
      <c r="AU54" s="5">
        <f>AU55</f>
        <v>132660.79</v>
      </c>
      <c r="AV54" s="5">
        <f t="shared" si="14"/>
        <v>43795.710000000006</v>
      </c>
      <c r="AW54" s="37">
        <f t="shared" si="15"/>
        <v>1.4928337430180674</v>
      </c>
      <c r="AY54" s="5">
        <f>SUM(AY55)</f>
        <v>42822.43</v>
      </c>
      <c r="BA54" s="5">
        <f>SUM(BA55)</f>
        <v>88865.08</v>
      </c>
      <c r="BB54" s="5">
        <f>BB55</f>
        <v>99196.92</v>
      </c>
      <c r="BC54" s="5">
        <f t="shared" si="16"/>
        <v>10331.839999999997</v>
      </c>
      <c r="BD54" s="37">
        <f t="shared" si="17"/>
        <v>1.1162643414038449</v>
      </c>
      <c r="BF54" s="5">
        <f>SUM(BF55)</f>
        <v>59725.19</v>
      </c>
      <c r="BH54" s="4">
        <f>SUM(BH55)</f>
        <v>88865.08</v>
      </c>
      <c r="BI54" s="4">
        <f>SUM(BI55)</f>
        <v>133071.36000000002</v>
      </c>
      <c r="BJ54" s="5">
        <f t="shared" si="18"/>
        <v>44206.280000000013</v>
      </c>
      <c r="BK54" s="37">
        <f t="shared" si="19"/>
        <v>1.497453893025247</v>
      </c>
      <c r="BM54" s="5">
        <f>SUM(BM55)</f>
        <v>117669.52</v>
      </c>
      <c r="BO54" s="4">
        <f>SUM(BO55)</f>
        <v>88865.08</v>
      </c>
      <c r="BP54" s="4">
        <f>SUM(BP55)</f>
        <v>24424.21</v>
      </c>
      <c r="BQ54" s="5">
        <f t="shared" si="20"/>
        <v>-64440.87</v>
      </c>
      <c r="BR54" s="37">
        <f t="shared" si="21"/>
        <v>0.27484597999574184</v>
      </c>
      <c r="BT54" s="5">
        <f>SUM(BT55)</f>
        <v>70062.499999999985</v>
      </c>
      <c r="BV54" s="4">
        <f>SUM(BV55)</f>
        <v>88865.08</v>
      </c>
      <c r="BW54" s="4">
        <f>SUM(BW55)</f>
        <v>81019.839999999997</v>
      </c>
      <c r="BX54" s="5">
        <f t="shared" si="22"/>
        <v>-7845.2400000000052</v>
      </c>
      <c r="BY54" s="37">
        <f t="shared" si="23"/>
        <v>0.91171740350652919</v>
      </c>
      <c r="CA54" s="5">
        <f>SUM(CA55)</f>
        <v>210980.24</v>
      </c>
      <c r="CC54" s="4">
        <f>SUM(CC55)</f>
        <v>88865.08</v>
      </c>
      <c r="CD54" s="5">
        <f>CD55</f>
        <v>56201.13</v>
      </c>
      <c r="CE54" s="5">
        <f t="shared" si="24"/>
        <v>-32663.950000000004</v>
      </c>
      <c r="CF54" s="37">
        <f t="shared" si="25"/>
        <v>0.63243210944051365</v>
      </c>
      <c r="CH54" s="5">
        <f>SUM(CH55)</f>
        <v>110183.45</v>
      </c>
      <c r="CJ54" s="5">
        <f t="shared" si="26"/>
        <v>1066380.9599999997</v>
      </c>
      <c r="CK54" s="4">
        <f>SUM(CK55)</f>
        <v>1162888.5699999998</v>
      </c>
      <c r="CL54" s="5">
        <f t="shared" si="27"/>
        <v>96507.610000000102</v>
      </c>
      <c r="CM54" s="37">
        <f t="shared" si="28"/>
        <v>1.0905001248334367</v>
      </c>
      <c r="CO54" s="4">
        <f t="shared" si="39"/>
        <v>1837519.5900000003</v>
      </c>
      <c r="CQ54" s="5">
        <f t="shared" si="1"/>
        <v>1066380.9599999997</v>
      </c>
      <c r="CR54" s="5">
        <f t="shared" si="1"/>
        <v>1162888.5699999998</v>
      </c>
      <c r="CS54" s="5">
        <f t="shared" si="29"/>
        <v>96507.610000000102</v>
      </c>
      <c r="CT54" s="37">
        <f t="shared" si="30"/>
        <v>1.0905001248334367</v>
      </c>
      <c r="CV54" s="5">
        <f t="shared" si="31"/>
        <v>1837519.5899999999</v>
      </c>
      <c r="CX54" s="5">
        <f t="shared" si="32"/>
        <v>266595.24</v>
      </c>
      <c r="CY54" s="5">
        <f t="shared" si="33"/>
        <v>266595.24</v>
      </c>
      <c r="CZ54" s="5">
        <f t="shared" si="34"/>
        <v>306584.52599999995</v>
      </c>
      <c r="DA54" s="5">
        <f t="shared" si="35"/>
        <v>1469473.0959999999</v>
      </c>
    </row>
    <row r="55" spans="1:106" s="31" customFormat="1" ht="16.5" customHeight="1" x14ac:dyDescent="0.3">
      <c r="A55" s="29">
        <v>37</v>
      </c>
      <c r="B55" s="30" t="s">
        <v>40</v>
      </c>
      <c r="D55" s="3">
        <v>88865.08</v>
      </c>
      <c r="E55" s="3">
        <v>88442.63</v>
      </c>
      <c r="F55" s="3">
        <f t="shared" si="2"/>
        <v>-422.44999999999709</v>
      </c>
      <c r="G55" s="32">
        <f t="shared" si="3"/>
        <v>0.99524616418507705</v>
      </c>
      <c r="I55" s="3">
        <v>173145.84</v>
      </c>
      <c r="K55" s="33">
        <v>88865.08</v>
      </c>
      <c r="L55" s="7">
        <v>173270.2</v>
      </c>
      <c r="M55" s="3">
        <f t="shared" si="4"/>
        <v>84405.12000000001</v>
      </c>
      <c r="N55" s="32">
        <f t="shared" si="5"/>
        <v>1.9498120071461142</v>
      </c>
      <c r="P55" s="3">
        <v>7637.8</v>
      </c>
      <c r="R55" s="3">
        <v>88865.08</v>
      </c>
      <c r="S55" s="3">
        <f>82844.16-7497</f>
        <v>75347.16</v>
      </c>
      <c r="T55" s="3">
        <f t="shared" si="6"/>
        <v>-13517.919999999998</v>
      </c>
      <c r="U55" s="32">
        <f t="shared" si="7"/>
        <v>0.84788265536924068</v>
      </c>
      <c r="W55" s="3">
        <v>633254.02</v>
      </c>
      <c r="Y55" s="3">
        <v>88865.08</v>
      </c>
      <c r="Z55" s="34">
        <f>73228.3-10576</f>
        <v>62652.3</v>
      </c>
      <c r="AA55" s="3">
        <f t="shared" si="8"/>
        <v>-26212.78</v>
      </c>
      <c r="AB55" s="32">
        <f t="shared" si="9"/>
        <v>0.70502721653995026</v>
      </c>
      <c r="AD55" s="3">
        <v>152910.78</v>
      </c>
      <c r="AF55" s="3">
        <v>88865.08</v>
      </c>
      <c r="AG55" s="34">
        <f>139674.38-5238</f>
        <v>134436.38</v>
      </c>
      <c r="AH55" s="3">
        <f t="shared" si="10"/>
        <v>45571.3</v>
      </c>
      <c r="AI55" s="32">
        <f t="shared" si="11"/>
        <v>1.5128144823590999</v>
      </c>
      <c r="AK55" s="3">
        <v>165148.54</v>
      </c>
      <c r="AM55" s="3">
        <v>88865.08</v>
      </c>
      <c r="AN55" s="3">
        <f>105722.65-3557</f>
        <v>102165.65</v>
      </c>
      <c r="AO55" s="3">
        <f t="shared" si="12"/>
        <v>13300.569999999992</v>
      </c>
      <c r="AP55" s="32">
        <f t="shared" si="13"/>
        <v>1.1496715020118138</v>
      </c>
      <c r="AR55" s="3">
        <v>93979.28</v>
      </c>
      <c r="AT55" s="3">
        <v>88865.08</v>
      </c>
      <c r="AU55" s="3">
        <v>132660.79</v>
      </c>
      <c r="AV55" s="3">
        <f t="shared" si="14"/>
        <v>43795.710000000006</v>
      </c>
      <c r="AW55" s="32">
        <f t="shared" si="15"/>
        <v>1.4928337430180674</v>
      </c>
      <c r="AY55" s="3">
        <v>42822.43</v>
      </c>
      <c r="BA55" s="3">
        <v>88865.08</v>
      </c>
      <c r="BB55" s="3">
        <v>99196.92</v>
      </c>
      <c r="BC55" s="3">
        <f t="shared" si="16"/>
        <v>10331.839999999997</v>
      </c>
      <c r="BD55" s="32">
        <f t="shared" si="17"/>
        <v>1.1162643414038449</v>
      </c>
      <c r="BF55" s="3">
        <v>59725.19</v>
      </c>
      <c r="BH55" s="3">
        <v>88865.08</v>
      </c>
      <c r="BI55" s="3">
        <f>250762.89-117691.53</f>
        <v>133071.36000000002</v>
      </c>
      <c r="BJ55" s="3">
        <f t="shared" si="18"/>
        <v>44206.280000000013</v>
      </c>
      <c r="BK55" s="32">
        <f t="shared" si="19"/>
        <v>1.497453893025247</v>
      </c>
      <c r="BM55" s="3">
        <v>117669.52</v>
      </c>
      <c r="BO55" s="3">
        <v>88865.08</v>
      </c>
      <c r="BP55" s="3">
        <f>24424.21</f>
        <v>24424.21</v>
      </c>
      <c r="BQ55" s="3">
        <f t="shared" si="20"/>
        <v>-64440.87</v>
      </c>
      <c r="BR55" s="32">
        <f t="shared" si="21"/>
        <v>0.27484597999574184</v>
      </c>
      <c r="BT55" s="3">
        <f>181249.33-111186.83</f>
        <v>70062.499999999985</v>
      </c>
      <c r="BV55" s="3">
        <v>88865.08</v>
      </c>
      <c r="BW55" s="34">
        <f>81539.84-520</f>
        <v>81019.839999999997</v>
      </c>
      <c r="BX55" s="3">
        <f t="shared" si="22"/>
        <v>-7845.2400000000052</v>
      </c>
      <c r="BY55" s="32">
        <f t="shared" si="23"/>
        <v>0.91171740350652919</v>
      </c>
      <c r="CA55" s="3">
        <f>211247.24-267</f>
        <v>210980.24</v>
      </c>
      <c r="CC55" s="3">
        <v>88865.08</v>
      </c>
      <c r="CD55" s="3">
        <f>64181.56-7980.43</f>
        <v>56201.13</v>
      </c>
      <c r="CE55" s="3">
        <f t="shared" si="24"/>
        <v>-32663.950000000004</v>
      </c>
      <c r="CF55" s="32">
        <f t="shared" si="25"/>
        <v>0.63243210944051365</v>
      </c>
      <c r="CH55" s="3">
        <f>112431.68-2248.23</f>
        <v>110183.45</v>
      </c>
      <c r="CJ55" s="3">
        <f t="shared" si="26"/>
        <v>1066380.9599999997</v>
      </c>
      <c r="CK55" s="3">
        <f t="shared" si="37"/>
        <v>1162888.5699999998</v>
      </c>
      <c r="CL55" s="3">
        <f t="shared" si="27"/>
        <v>96507.610000000102</v>
      </c>
      <c r="CM55" s="32">
        <f t="shared" si="28"/>
        <v>1.0905001248334367</v>
      </c>
      <c r="CO55" s="3">
        <f t="shared" si="39"/>
        <v>1837519.5900000003</v>
      </c>
      <c r="CQ55" s="3">
        <f t="shared" si="1"/>
        <v>1066380.9599999997</v>
      </c>
      <c r="CR55" s="3">
        <f t="shared" si="1"/>
        <v>1162888.5699999998</v>
      </c>
      <c r="CS55" s="3">
        <f t="shared" si="29"/>
        <v>96507.610000000102</v>
      </c>
      <c r="CT55" s="32">
        <f t="shared" si="30"/>
        <v>1.0905001248334367</v>
      </c>
      <c r="CV55" s="3">
        <f t="shared" si="31"/>
        <v>1837519.5899999999</v>
      </c>
      <c r="CX55" s="3">
        <f t="shared" si="32"/>
        <v>266595.24</v>
      </c>
      <c r="CY55" s="3">
        <f t="shared" si="33"/>
        <v>266595.24</v>
      </c>
      <c r="CZ55" s="3">
        <f t="shared" si="34"/>
        <v>306584.52599999995</v>
      </c>
      <c r="DA55" s="3">
        <f t="shared" si="35"/>
        <v>1469473.0959999999</v>
      </c>
    </row>
    <row r="56" spans="1:106" s="31" customFormat="1" ht="16.5" customHeight="1" x14ac:dyDescent="0.3">
      <c r="A56" s="38"/>
      <c r="B56" s="39" t="s">
        <v>41</v>
      </c>
      <c r="D56" s="10">
        <f>SUM(D54+D52+D36+D34+D50)</f>
        <v>4541355.8899999997</v>
      </c>
      <c r="E56" s="10">
        <f>SUM(E54+E52+E36+E34+E50)</f>
        <v>9320491.5500000007</v>
      </c>
      <c r="F56" s="10">
        <f t="shared" si="2"/>
        <v>4779135.6600000011</v>
      </c>
      <c r="G56" s="40">
        <f t="shared" si="3"/>
        <v>2.0523587615151655</v>
      </c>
      <c r="I56" s="10">
        <f>+I54+I52+I50+I36+I34</f>
        <v>10709830.609999999</v>
      </c>
      <c r="K56" s="6">
        <f>SUM(K54+K52+K50+K36+K34)</f>
        <v>4183058.5500000017</v>
      </c>
      <c r="L56" s="6">
        <f>SUM(L54+L52+L50+L36+L34)</f>
        <v>9340585.25</v>
      </c>
      <c r="M56" s="10">
        <f t="shared" si="4"/>
        <v>5157526.6999999983</v>
      </c>
      <c r="N56" s="40">
        <f t="shared" si="5"/>
        <v>2.2329558953938133</v>
      </c>
      <c r="P56" s="10">
        <f>+P54+P52+P50+P36+P34</f>
        <v>9318419.8100000005</v>
      </c>
      <c r="R56" s="10">
        <f>R54+R52+R50+R36+R34</f>
        <v>4316846.620000001</v>
      </c>
      <c r="S56" s="10">
        <f>S54+S52+S50+S36+S34</f>
        <v>12754991.690000001</v>
      </c>
      <c r="T56" s="10">
        <f t="shared" si="6"/>
        <v>8438145.0700000003</v>
      </c>
      <c r="U56" s="40">
        <f t="shared" si="7"/>
        <v>2.954701154056754</v>
      </c>
      <c r="W56" s="10">
        <f>+W54+W52+W50+W36+W34</f>
        <v>9520820.4499999993</v>
      </c>
      <c r="Y56" s="10">
        <f>SUM(Y34+Y36+Y50+Y52+Y54)</f>
        <v>5482057.29</v>
      </c>
      <c r="Z56" s="10">
        <f>SUM(Z34+Z36+Z50+Z52+Z54)</f>
        <v>7366511.4799999986</v>
      </c>
      <c r="AA56" s="10">
        <f t="shared" si="8"/>
        <v>1884454.1899999985</v>
      </c>
      <c r="AB56" s="40">
        <f t="shared" si="9"/>
        <v>1.3437494521331423</v>
      </c>
      <c r="AD56" s="10">
        <f>+AD54+AD52+AD50+AD36+AD34</f>
        <v>12800096.990000002</v>
      </c>
      <c r="AF56" s="10">
        <f>AF54+AF52+AF50+AF36+AF34</f>
        <v>3774530.36</v>
      </c>
      <c r="AG56" s="10">
        <f>AG54+AG52+AG50+AG36+AG34</f>
        <v>8410255.6500000004</v>
      </c>
      <c r="AH56" s="10">
        <f t="shared" si="10"/>
        <v>4635725.290000001</v>
      </c>
      <c r="AI56" s="40">
        <f t="shared" si="11"/>
        <v>2.2281594921387784</v>
      </c>
      <c r="AK56" s="10">
        <f>+AK54+AK52+AK50+AK36+AK34</f>
        <v>9000738.0199999996</v>
      </c>
      <c r="AM56" s="10">
        <f>AM54+AM52+AM50+AM36+AM34</f>
        <v>4565690.2699999996</v>
      </c>
      <c r="AN56" s="10">
        <f>AN54+AN52+AN50+AN36+AN34</f>
        <v>7987937.4699999997</v>
      </c>
      <c r="AO56" s="10">
        <f t="shared" si="12"/>
        <v>3422247.2</v>
      </c>
      <c r="AP56" s="40">
        <f t="shared" si="13"/>
        <v>1.7495574595777388</v>
      </c>
      <c r="AR56" s="10">
        <f>+AR54+AR52+AR50+AR36+AR34</f>
        <v>9885923.4600000009</v>
      </c>
      <c r="AT56" s="10">
        <f>+AT54+AT52+AT50+AT36+AT34</f>
        <v>4338516.1599999992</v>
      </c>
      <c r="AU56" s="10">
        <f>AU54+AU52+AU50+AU36+AU34</f>
        <v>10689656.910000002</v>
      </c>
      <c r="AV56" s="10">
        <f t="shared" si="14"/>
        <v>6351140.7500000028</v>
      </c>
      <c r="AW56" s="40">
        <f t="shared" si="15"/>
        <v>2.4638969905323584</v>
      </c>
      <c r="AY56" s="10">
        <f>+AY54+AY52+AY50+AY36+AY34</f>
        <v>8340867.1600000011</v>
      </c>
      <c r="BA56" s="10">
        <f>+BA54+BA52+BA50+BA36+BA34</f>
        <v>5480441.7999999998</v>
      </c>
      <c r="BB56" s="10">
        <f>+BB54+BB52+BB50+BB36+BB34</f>
        <v>7233788.79</v>
      </c>
      <c r="BC56" s="10">
        <f t="shared" si="16"/>
        <v>1753346.9900000002</v>
      </c>
      <c r="BD56" s="40">
        <f t="shared" si="17"/>
        <v>1.3199280375534688</v>
      </c>
      <c r="BF56" s="10">
        <f>+BF54+BF52+BF50+BF36+BF34</f>
        <v>13502057.479999999</v>
      </c>
      <c r="BH56" s="10">
        <f>+BH54+BH52+BH50+BH36+BH34</f>
        <v>5503174.580000001</v>
      </c>
      <c r="BI56" s="10">
        <f>+BI54+BI52+BI50+BI36+BI34</f>
        <v>11833514.990000002</v>
      </c>
      <c r="BJ56" s="10">
        <f t="shared" si="18"/>
        <v>6330340.4100000011</v>
      </c>
      <c r="BK56" s="40">
        <f t="shared" si="19"/>
        <v>2.1503070306012351</v>
      </c>
      <c r="BM56" s="10">
        <f>+BM54+BM52+BM50+BM36+BM34</f>
        <v>8898799.9100000001</v>
      </c>
      <c r="BO56" s="10">
        <f>+BO54+BO52+BO50+BO36+BO34</f>
        <v>4973312.5999999996</v>
      </c>
      <c r="BP56" s="10">
        <f>+BP54+BP52+BP50+BP36+BP34</f>
        <v>7356420.3200000012</v>
      </c>
      <c r="BQ56" s="10">
        <f t="shared" si="20"/>
        <v>2383107.7200000016</v>
      </c>
      <c r="BR56" s="40">
        <f t="shared" si="21"/>
        <v>1.4791791531463359</v>
      </c>
      <c r="BT56" s="10">
        <f>+BT54+BT52+BT50+BT36+BT34</f>
        <v>12173712.030000001</v>
      </c>
      <c r="BV56" s="10">
        <f>+BV54+BV52+BV50+BV36+BV34</f>
        <v>3477747.35</v>
      </c>
      <c r="BW56" s="41">
        <f>+BW54+BW52+BW50+BW36+BW34</f>
        <v>12812714.230000002</v>
      </c>
      <c r="BX56" s="10">
        <f t="shared" si="22"/>
        <v>9334966.8800000027</v>
      </c>
      <c r="BY56" s="40">
        <f t="shared" si="23"/>
        <v>3.6841992647913315</v>
      </c>
      <c r="CA56" s="10">
        <f>+CA54+CA52+CA50+CA36+CA34</f>
        <v>7047860.1300000008</v>
      </c>
      <c r="CC56" s="10">
        <f>+CC54+CC52+CC50+CC36+CC34</f>
        <v>3250219.2800000007</v>
      </c>
      <c r="CD56" s="10">
        <f>+CD54+CD52+CD50+CD36+CD34</f>
        <v>9170657.0699999984</v>
      </c>
      <c r="CE56" s="10">
        <f t="shared" si="24"/>
        <v>5920437.7899999972</v>
      </c>
      <c r="CF56" s="40">
        <f t="shared" si="25"/>
        <v>2.8215502647562896</v>
      </c>
      <c r="CH56" s="10">
        <f>+CH54+CH52+CH50+CH36+CH34</f>
        <v>12844403.91</v>
      </c>
      <c r="CJ56" s="10">
        <f t="shared" si="26"/>
        <v>53886950.75</v>
      </c>
      <c r="CK56" s="10">
        <f>+CK54+CK52+CK50+CK36+CK34</f>
        <v>114277525.39999996</v>
      </c>
      <c r="CL56" s="10">
        <f t="shared" si="27"/>
        <v>60390574.649999961</v>
      </c>
      <c r="CM56" s="40">
        <f t="shared" si="28"/>
        <v>2.1206901450069515</v>
      </c>
      <c r="CO56" s="10">
        <f t="shared" si="39"/>
        <v>124043529.96000001</v>
      </c>
      <c r="CQ56" s="10">
        <f t="shared" si="1"/>
        <v>53886950.75</v>
      </c>
      <c r="CR56" s="10">
        <f t="shared" si="1"/>
        <v>114277525.40000001</v>
      </c>
      <c r="CS56" s="10">
        <f t="shared" si="29"/>
        <v>60390574.650000006</v>
      </c>
      <c r="CT56" s="40">
        <f t="shared" si="30"/>
        <v>2.1206901450069524</v>
      </c>
      <c r="CV56" s="10">
        <f t="shared" si="31"/>
        <v>124043529.95999999</v>
      </c>
      <c r="CX56" s="10">
        <f t="shared" si="32"/>
        <v>11701279.23</v>
      </c>
      <c r="CY56" s="10">
        <f t="shared" si="33"/>
        <v>11701279.23</v>
      </c>
      <c r="CZ56" s="10">
        <f t="shared" si="34"/>
        <v>13456471.114499999</v>
      </c>
      <c r="DA56" s="10">
        <f t="shared" si="35"/>
        <v>127733996.51450001</v>
      </c>
    </row>
    <row r="57" spans="1:106" s="26" customFormat="1" ht="16.5" customHeight="1" x14ac:dyDescent="0.3">
      <c r="A57" s="35"/>
      <c r="B57" s="36"/>
      <c r="D57" s="5"/>
      <c r="E57" s="5"/>
      <c r="F57" s="5"/>
      <c r="G57" s="37"/>
      <c r="I57" s="5"/>
      <c r="K57" s="42"/>
      <c r="L57" s="5"/>
      <c r="M57" s="5"/>
      <c r="N57" s="37"/>
      <c r="P57" s="5"/>
      <c r="R57" s="5"/>
      <c r="S57" s="5"/>
      <c r="T57" s="5"/>
      <c r="U57" s="37"/>
      <c r="W57" s="5"/>
      <c r="Y57" s="5"/>
      <c r="Z57" s="43"/>
      <c r="AA57" s="5"/>
      <c r="AB57" s="37"/>
      <c r="AD57" s="5"/>
      <c r="AF57" s="5"/>
      <c r="AG57" s="43"/>
      <c r="AH57" s="5"/>
      <c r="AI57" s="37"/>
      <c r="AK57" s="5"/>
      <c r="AM57" s="5"/>
      <c r="AN57" s="5"/>
      <c r="AO57" s="5"/>
      <c r="AP57" s="37"/>
      <c r="AR57" s="5"/>
      <c r="AT57" s="5"/>
      <c r="AU57" s="5"/>
      <c r="AV57" s="5"/>
      <c r="AW57" s="37"/>
      <c r="AY57" s="5"/>
      <c r="BA57" s="5"/>
      <c r="BB57" s="5"/>
      <c r="BC57" s="5"/>
      <c r="BD57" s="37"/>
      <c r="BF57" s="5"/>
      <c r="BH57" s="5"/>
      <c r="BI57" s="5"/>
      <c r="BJ57" s="5"/>
      <c r="BK57" s="37"/>
      <c r="BM57" s="5"/>
      <c r="BO57" s="3"/>
      <c r="BP57" s="5"/>
      <c r="BQ57" s="5"/>
      <c r="BR57" s="37"/>
      <c r="BT57" s="5"/>
      <c r="BV57" s="5"/>
      <c r="BW57" s="43"/>
      <c r="BX57" s="5"/>
      <c r="BY57" s="37"/>
      <c r="CA57" s="5"/>
      <c r="CC57" s="5"/>
      <c r="CD57" s="5"/>
      <c r="CE57" s="5"/>
      <c r="CF57" s="37"/>
      <c r="CH57" s="5"/>
      <c r="CJ57" s="5">
        <f t="shared" si="26"/>
        <v>0</v>
      </c>
      <c r="CK57" s="3">
        <f t="shared" si="37"/>
        <v>0</v>
      </c>
      <c r="CL57" s="5"/>
      <c r="CM57" s="37"/>
      <c r="CO57" s="5"/>
      <c r="CQ57" s="5"/>
      <c r="CR57" s="5"/>
      <c r="CS57" s="5"/>
      <c r="CT57" s="37"/>
      <c r="CV57" s="5"/>
      <c r="CX57" s="5">
        <f t="shared" si="32"/>
        <v>0</v>
      </c>
      <c r="CY57" s="5">
        <f t="shared" si="33"/>
        <v>0</v>
      </c>
      <c r="CZ57" s="5">
        <f t="shared" si="34"/>
        <v>0</v>
      </c>
      <c r="DA57" s="5">
        <f t="shared" si="35"/>
        <v>0</v>
      </c>
    </row>
    <row r="58" spans="1:106" s="31" customFormat="1" x14ac:dyDescent="0.3">
      <c r="A58" s="29">
        <v>38</v>
      </c>
      <c r="B58" s="30" t="s">
        <v>42</v>
      </c>
      <c r="D58" s="3">
        <v>188660.13</v>
      </c>
      <c r="E58" s="3">
        <f>2051926.93-1342158.42</f>
        <v>709768.51</v>
      </c>
      <c r="F58" s="3">
        <f t="shared" si="2"/>
        <v>521108.38</v>
      </c>
      <c r="G58" s="32">
        <f t="shared" si="3"/>
        <v>3.7621542506092833</v>
      </c>
      <c r="I58" s="3">
        <v>315413.79999999993</v>
      </c>
      <c r="K58" s="33">
        <v>115433.35</v>
      </c>
      <c r="L58" s="3">
        <f>2139271.1-1399176.6</f>
        <v>740094.5</v>
      </c>
      <c r="M58" s="3">
        <f t="shared" si="4"/>
        <v>624661.15</v>
      </c>
      <c r="N58" s="32">
        <f t="shared" si="5"/>
        <v>6.411444352953457</v>
      </c>
      <c r="P58" s="3">
        <v>187326.67000000004</v>
      </c>
      <c r="R58" s="3">
        <v>214861.91</v>
      </c>
      <c r="S58" s="3">
        <f>3427063.31-2259880.39</f>
        <v>1167182.92</v>
      </c>
      <c r="T58" s="3">
        <f t="shared" si="6"/>
        <v>952321.00999999989</v>
      </c>
      <c r="U58" s="32">
        <f t="shared" si="7"/>
        <v>5.4322467858542254</v>
      </c>
      <c r="W58" s="3">
        <v>376194.63</v>
      </c>
      <c r="Y58" s="3">
        <v>190451.67</v>
      </c>
      <c r="Z58" s="34">
        <f>3007453.86-1982398.96</f>
        <v>1025054.8999999999</v>
      </c>
      <c r="AA58" s="3">
        <f t="shared" si="8"/>
        <v>834603.22999999986</v>
      </c>
      <c r="AB58" s="32">
        <f t="shared" si="9"/>
        <v>5.3822310930641875</v>
      </c>
      <c r="AD58" s="3">
        <v>354614.31</v>
      </c>
      <c r="AF58" s="3">
        <v>215743.88</v>
      </c>
      <c r="AG58" s="34">
        <f>1164576.62-5264.5</f>
        <v>1159312.1200000001</v>
      </c>
      <c r="AH58" s="3">
        <f t="shared" si="10"/>
        <v>943568.24000000011</v>
      </c>
      <c r="AI58" s="32">
        <f t="shared" si="11"/>
        <v>5.3735573866568087</v>
      </c>
      <c r="AK58" s="3">
        <v>434594.85000000003</v>
      </c>
      <c r="AM58" s="3">
        <v>659811.55999999994</v>
      </c>
      <c r="AN58" s="3">
        <f>749822.78-10515.5</f>
        <v>739307.28</v>
      </c>
      <c r="AO58" s="3">
        <f t="shared" si="12"/>
        <v>79495.720000000088</v>
      </c>
      <c r="AP58" s="32">
        <f t="shared" si="13"/>
        <v>1.1204824601739323</v>
      </c>
      <c r="AR58" s="3">
        <v>1170377.3600000001</v>
      </c>
      <c r="AT58" s="3">
        <v>208748.45</v>
      </c>
      <c r="AU58" s="3">
        <f>1293285.83-13969.45</f>
        <v>1279316.3800000001</v>
      </c>
      <c r="AV58" s="3">
        <f t="shared" si="14"/>
        <v>1070567.9300000002</v>
      </c>
      <c r="AW58" s="32">
        <f t="shared" si="15"/>
        <v>6.1285072056822463</v>
      </c>
      <c r="AY58" s="3">
        <v>406819.26</v>
      </c>
      <c r="BA58" s="3">
        <v>199099.52999999997</v>
      </c>
      <c r="BB58" s="3">
        <f>1231661.68-12814</f>
        <v>1218847.68</v>
      </c>
      <c r="BC58" s="3">
        <f t="shared" si="16"/>
        <v>1019748.1499999999</v>
      </c>
      <c r="BD58" s="32">
        <f t="shared" si="17"/>
        <v>6.1218008902381644</v>
      </c>
      <c r="BF58" s="3">
        <v>393800.97</v>
      </c>
      <c r="BH58" s="3">
        <v>377545.69</v>
      </c>
      <c r="BI58" s="3">
        <f>1759909.21-213583.99</f>
        <v>1546325.22</v>
      </c>
      <c r="BJ58" s="3">
        <f t="shared" si="18"/>
        <v>1168779.53</v>
      </c>
      <c r="BK58" s="32">
        <f t="shared" si="19"/>
        <v>4.0957300293906149</v>
      </c>
      <c r="BM58" s="3">
        <v>681012.87</v>
      </c>
      <c r="BO58" s="3">
        <v>415431.95</v>
      </c>
      <c r="BP58" s="3">
        <f>1335206.66-669605.52</f>
        <v>665601.1399999999</v>
      </c>
      <c r="BQ58" s="3">
        <f t="shared" si="20"/>
        <v>250169.18999999989</v>
      </c>
      <c r="BR58" s="32">
        <f t="shared" si="21"/>
        <v>1.6021905392688258</v>
      </c>
      <c r="BT58" s="3">
        <f>1538821.3-757400.08</f>
        <v>781421.22000000009</v>
      </c>
      <c r="BV58" s="3">
        <v>273346.12999999995</v>
      </c>
      <c r="BW58" s="34">
        <f>776652.49-99749.45</f>
        <v>676903.04</v>
      </c>
      <c r="BX58" s="3">
        <f t="shared" si="22"/>
        <v>403556.91000000009</v>
      </c>
      <c r="BY58" s="32">
        <f t="shared" si="23"/>
        <v>2.4763586007235596</v>
      </c>
      <c r="CA58" s="3">
        <f>1089355-528947.21</f>
        <v>560407.79</v>
      </c>
      <c r="CC58" s="3">
        <v>13386.75</v>
      </c>
      <c r="CD58" s="3">
        <f>2061887.36-41734.92</f>
        <v>2020152.4400000002</v>
      </c>
      <c r="CE58" s="3">
        <f t="shared" si="24"/>
        <v>2006765.6900000002</v>
      </c>
      <c r="CF58" s="32">
        <f t="shared" si="25"/>
        <v>150.90686238257982</v>
      </c>
      <c r="CH58" s="3">
        <f>1865815.96-1302553.78</f>
        <v>563262.17999999993</v>
      </c>
      <c r="CJ58" s="3">
        <f t="shared" si="26"/>
        <v>3072521</v>
      </c>
      <c r="CK58" s="3">
        <f t="shared" si="37"/>
        <v>12947866.130000001</v>
      </c>
      <c r="CL58" s="3">
        <f t="shared" si="27"/>
        <v>9875345.1300000008</v>
      </c>
      <c r="CM58" s="32">
        <f t="shared" si="28"/>
        <v>4.2140854789926578</v>
      </c>
      <c r="CO58" s="3">
        <f>CH58+CA58+BT58+BM58+BF58+AY58+AR58+AK58+AD58+W58+P58+I58</f>
        <v>6225245.9099999992</v>
      </c>
      <c r="CQ58" s="3">
        <f t="shared" si="1"/>
        <v>3072521</v>
      </c>
      <c r="CR58" s="3">
        <f t="shared" si="1"/>
        <v>12947866.130000001</v>
      </c>
      <c r="CS58" s="3">
        <f t="shared" si="29"/>
        <v>9875345.1300000008</v>
      </c>
      <c r="CT58" s="32">
        <f t="shared" si="30"/>
        <v>4.2140854789926578</v>
      </c>
      <c r="CV58" s="3">
        <f t="shared" si="31"/>
        <v>6225245.9099999992</v>
      </c>
      <c r="CX58" s="3">
        <f t="shared" si="32"/>
        <v>702164.83</v>
      </c>
      <c r="CY58" s="3">
        <f t="shared" si="33"/>
        <v>702164.83</v>
      </c>
      <c r="CZ58" s="3">
        <f t="shared" si="34"/>
        <v>807489.55449999985</v>
      </c>
      <c r="DA58" s="3">
        <f t="shared" si="35"/>
        <v>13755355.684500001</v>
      </c>
    </row>
    <row r="59" spans="1:106" s="31" customFormat="1" ht="16.5" customHeight="1" x14ac:dyDescent="0.3">
      <c r="A59" s="38"/>
      <c r="B59" s="39" t="s">
        <v>43</v>
      </c>
      <c r="D59" s="10">
        <f>D58</f>
        <v>188660.13</v>
      </c>
      <c r="E59" s="10">
        <f>E58</f>
        <v>709768.51</v>
      </c>
      <c r="F59" s="10">
        <f t="shared" si="2"/>
        <v>521108.38</v>
      </c>
      <c r="G59" s="40">
        <f t="shared" si="3"/>
        <v>3.7621542506092833</v>
      </c>
      <c r="I59" s="10">
        <f>SUM(I58)</f>
        <v>315413.79999999993</v>
      </c>
      <c r="K59" s="6">
        <f>K58</f>
        <v>115433.35</v>
      </c>
      <c r="L59" s="6">
        <f>L58</f>
        <v>740094.5</v>
      </c>
      <c r="M59" s="10">
        <f t="shared" si="4"/>
        <v>624661.15</v>
      </c>
      <c r="N59" s="40">
        <f t="shared" si="5"/>
        <v>6.411444352953457</v>
      </c>
      <c r="P59" s="10">
        <v>188036.51</v>
      </c>
      <c r="R59" s="10">
        <f>R58</f>
        <v>214861.91</v>
      </c>
      <c r="S59" s="10">
        <f>S58</f>
        <v>1167182.92</v>
      </c>
      <c r="T59" s="10">
        <f t="shared" si="6"/>
        <v>952321.00999999989</v>
      </c>
      <c r="U59" s="40">
        <f t="shared" si="7"/>
        <v>5.4322467858542254</v>
      </c>
      <c r="W59" s="10">
        <f>SUM(W58)</f>
        <v>376194.63</v>
      </c>
      <c r="Y59" s="10">
        <f>Y58</f>
        <v>190451.67</v>
      </c>
      <c r="Z59" s="10">
        <f>Z58</f>
        <v>1025054.8999999999</v>
      </c>
      <c r="AA59" s="10">
        <f t="shared" si="8"/>
        <v>834603.22999999986</v>
      </c>
      <c r="AB59" s="40">
        <f t="shared" si="9"/>
        <v>5.3822310930641875</v>
      </c>
      <c r="AD59" s="10">
        <f>SUM(AD58)</f>
        <v>354614.31</v>
      </c>
      <c r="AF59" s="10">
        <f>AF58</f>
        <v>215743.88</v>
      </c>
      <c r="AG59" s="10">
        <f>AG58</f>
        <v>1159312.1200000001</v>
      </c>
      <c r="AH59" s="10">
        <f t="shared" si="10"/>
        <v>943568.24000000011</v>
      </c>
      <c r="AI59" s="40">
        <f t="shared" si="11"/>
        <v>5.3735573866568087</v>
      </c>
      <c r="AK59" s="10">
        <f>SUM(AK58)</f>
        <v>434594.85000000003</v>
      </c>
      <c r="AM59" s="10">
        <f>AM58</f>
        <v>659811.55999999994</v>
      </c>
      <c r="AN59" s="10">
        <f>AN58</f>
        <v>739307.28</v>
      </c>
      <c r="AO59" s="10">
        <f t="shared" si="12"/>
        <v>79495.720000000088</v>
      </c>
      <c r="AP59" s="40">
        <f t="shared" si="13"/>
        <v>1.1204824601739323</v>
      </c>
      <c r="AR59" s="10">
        <f>SUM(AR58)</f>
        <v>1170377.3600000001</v>
      </c>
      <c r="AT59" s="10">
        <f>SUM(AT58)</f>
        <v>208748.45</v>
      </c>
      <c r="AU59" s="10">
        <f>AU58</f>
        <v>1279316.3800000001</v>
      </c>
      <c r="AV59" s="10">
        <f t="shared" si="14"/>
        <v>1070567.9300000002</v>
      </c>
      <c r="AW59" s="40">
        <f t="shared" si="15"/>
        <v>6.1285072056822463</v>
      </c>
      <c r="AY59" s="10">
        <f>SUM(AY58)</f>
        <v>406819.26</v>
      </c>
      <c r="BA59" s="10">
        <f>SUM(BA58)</f>
        <v>199099.52999999997</v>
      </c>
      <c r="BB59" s="10">
        <f>SUM(BB58)</f>
        <v>1218847.68</v>
      </c>
      <c r="BC59" s="10">
        <f t="shared" si="16"/>
        <v>1019748.1499999999</v>
      </c>
      <c r="BD59" s="40">
        <f t="shared" si="17"/>
        <v>6.1218008902381644</v>
      </c>
      <c r="BF59" s="10">
        <f>SUM(BF58)</f>
        <v>393800.97</v>
      </c>
      <c r="BH59" s="10">
        <f>SUM(BH58)</f>
        <v>377545.69</v>
      </c>
      <c r="BI59" s="10">
        <f>SUM(BI58)</f>
        <v>1546325.22</v>
      </c>
      <c r="BJ59" s="10">
        <f t="shared" si="18"/>
        <v>1168779.53</v>
      </c>
      <c r="BK59" s="40">
        <f t="shared" si="19"/>
        <v>4.0957300293906149</v>
      </c>
      <c r="BM59" s="10">
        <f>SUM(BM58)</f>
        <v>681012.87</v>
      </c>
      <c r="BO59" s="10">
        <f>SUM(BO58)</f>
        <v>415431.95</v>
      </c>
      <c r="BP59" s="10">
        <f>SUM(BP58)</f>
        <v>665601.1399999999</v>
      </c>
      <c r="BQ59" s="10">
        <f t="shared" si="20"/>
        <v>250169.18999999989</v>
      </c>
      <c r="BR59" s="40">
        <f t="shared" si="21"/>
        <v>1.6021905392688258</v>
      </c>
      <c r="BT59" s="10">
        <f>SUM(BT58)</f>
        <v>781421.22000000009</v>
      </c>
      <c r="BV59" s="10">
        <f>SUM(BV58)</f>
        <v>273346.12999999995</v>
      </c>
      <c r="BW59" s="41">
        <f>SUM(BW58)</f>
        <v>676903.04</v>
      </c>
      <c r="BX59" s="10">
        <f t="shared" si="22"/>
        <v>403556.91000000009</v>
      </c>
      <c r="BY59" s="40">
        <f t="shared" si="23"/>
        <v>2.4763586007235596</v>
      </c>
      <c r="CA59" s="10">
        <f>SUM(CA58)</f>
        <v>560407.79</v>
      </c>
      <c r="CC59" s="10">
        <f>SUM(CC58)</f>
        <v>13386.75</v>
      </c>
      <c r="CD59" s="10">
        <f>SUM(CD58)</f>
        <v>2020152.4400000002</v>
      </c>
      <c r="CE59" s="10">
        <f t="shared" si="24"/>
        <v>2006765.6900000002</v>
      </c>
      <c r="CF59" s="40">
        <f t="shared" si="25"/>
        <v>150.90686238257982</v>
      </c>
      <c r="CH59" s="10">
        <f>SUM(CH58)</f>
        <v>563262.17999999993</v>
      </c>
      <c r="CJ59" s="10">
        <f t="shared" si="26"/>
        <v>3072521</v>
      </c>
      <c r="CK59" s="10">
        <f>SUM(CK58)</f>
        <v>12947866.130000001</v>
      </c>
      <c r="CL59" s="10">
        <f t="shared" si="27"/>
        <v>9875345.1300000008</v>
      </c>
      <c r="CM59" s="40">
        <f t="shared" si="28"/>
        <v>4.2140854789926578</v>
      </c>
      <c r="CO59" s="10">
        <f>CH59+CA59+BT59+BM59+BF59+AY59+AR59+AK59+AD59+W59+P59+I59</f>
        <v>6225955.7499999991</v>
      </c>
      <c r="CQ59" s="10">
        <f t="shared" si="1"/>
        <v>3072521</v>
      </c>
      <c r="CR59" s="10">
        <f t="shared" si="1"/>
        <v>12947866.130000001</v>
      </c>
      <c r="CS59" s="10">
        <f t="shared" si="29"/>
        <v>9875345.1300000008</v>
      </c>
      <c r="CT59" s="40">
        <f t="shared" si="30"/>
        <v>4.2140854789926578</v>
      </c>
      <c r="CV59" s="10">
        <f t="shared" si="31"/>
        <v>6225955.7499999991</v>
      </c>
      <c r="CX59" s="10">
        <f t="shared" si="32"/>
        <v>702164.83</v>
      </c>
      <c r="CY59" s="10">
        <f t="shared" si="33"/>
        <v>702164.83</v>
      </c>
      <c r="CZ59" s="10">
        <f t="shared" si="34"/>
        <v>807489.55449999985</v>
      </c>
      <c r="DA59" s="10">
        <f t="shared" si="35"/>
        <v>13755355.684500001</v>
      </c>
    </row>
    <row r="60" spans="1:106" s="26" customFormat="1" ht="16.5" customHeight="1" x14ac:dyDescent="0.3">
      <c r="A60" s="35"/>
      <c r="B60" s="36"/>
      <c r="D60" s="5"/>
      <c r="E60" s="5"/>
      <c r="F60" s="5"/>
      <c r="G60" s="37"/>
      <c r="I60" s="5"/>
      <c r="K60" s="42"/>
      <c r="L60" s="5"/>
      <c r="M60" s="5"/>
      <c r="N60" s="37"/>
      <c r="P60" s="5"/>
      <c r="R60" s="5"/>
      <c r="S60" s="5"/>
      <c r="T60" s="5"/>
      <c r="U60" s="37"/>
      <c r="W60" s="5"/>
      <c r="Y60" s="5"/>
      <c r="Z60" s="43"/>
      <c r="AA60" s="5"/>
      <c r="AB60" s="37"/>
      <c r="AD60" s="5"/>
      <c r="AF60" s="46"/>
      <c r="AG60" s="43"/>
      <c r="AH60" s="5"/>
      <c r="AI60" s="37"/>
      <c r="AK60" s="5"/>
      <c r="AM60" s="5"/>
      <c r="AN60" s="5"/>
      <c r="AO60" s="5"/>
      <c r="AP60" s="37"/>
      <c r="AR60" s="5"/>
      <c r="AT60" s="5"/>
      <c r="AU60" s="5"/>
      <c r="AV60" s="5"/>
      <c r="AW60" s="37"/>
      <c r="AY60" s="5"/>
      <c r="BA60" s="5"/>
      <c r="BB60" s="5"/>
      <c r="BC60" s="5"/>
      <c r="BD60" s="37"/>
      <c r="BF60" s="5"/>
      <c r="BH60" s="5"/>
      <c r="BI60" s="5"/>
      <c r="BJ60" s="5"/>
      <c r="BK60" s="37"/>
      <c r="BM60" s="5"/>
      <c r="BO60" s="5"/>
      <c r="BP60" s="5"/>
      <c r="BQ60" s="5"/>
      <c r="BR60" s="37"/>
      <c r="BT60" s="5"/>
      <c r="BV60" s="5"/>
      <c r="BW60" s="43"/>
      <c r="BX60" s="5"/>
      <c r="BY60" s="37"/>
      <c r="CA60" s="5"/>
      <c r="CC60" s="5"/>
      <c r="CD60" s="5"/>
      <c r="CE60" s="5"/>
      <c r="CF60" s="37"/>
      <c r="CH60" s="5"/>
      <c r="CJ60" s="3">
        <f t="shared" si="26"/>
        <v>0</v>
      </c>
      <c r="CK60" s="5">
        <f>+E60+L60+S60+Z60+AG60+AN60+AU60+BB60+BI60+BP60</f>
        <v>0</v>
      </c>
      <c r="CL60" s="5"/>
      <c r="CM60" s="37"/>
      <c r="CO60" s="5"/>
      <c r="CQ60" s="5"/>
      <c r="CR60" s="5"/>
      <c r="CS60" s="5"/>
      <c r="CT60" s="37"/>
      <c r="CV60" s="5"/>
      <c r="CX60" s="5">
        <f t="shared" si="32"/>
        <v>0</v>
      </c>
      <c r="CY60" s="5">
        <f t="shared" si="33"/>
        <v>0</v>
      </c>
      <c r="CZ60" s="5">
        <f t="shared" si="34"/>
        <v>0</v>
      </c>
      <c r="DA60" s="5">
        <f t="shared" si="35"/>
        <v>0</v>
      </c>
    </row>
    <row r="61" spans="1:106" s="31" customFormat="1" ht="16.5" customHeight="1" x14ac:dyDescent="0.3">
      <c r="A61" s="29">
        <v>39</v>
      </c>
      <c r="B61" s="30" t="s">
        <v>44</v>
      </c>
      <c r="D61" s="3">
        <v>144643.82</v>
      </c>
      <c r="E61" s="3">
        <v>1624040.38</v>
      </c>
      <c r="F61" s="3">
        <f t="shared" si="2"/>
        <v>1479396.5599999998</v>
      </c>
      <c r="G61" s="32">
        <f t="shared" si="3"/>
        <v>11.22785874985879</v>
      </c>
      <c r="I61" s="3">
        <v>612598.31999999995</v>
      </c>
      <c r="K61" s="42">
        <v>127085.09</v>
      </c>
      <c r="L61" s="3">
        <f>2210873.86-22213.04</f>
        <v>2188660.8199999998</v>
      </c>
      <c r="M61" s="3">
        <f t="shared" si="4"/>
        <v>2061575.7299999997</v>
      </c>
      <c r="N61" s="32">
        <f t="shared" si="5"/>
        <v>17.22201101639854</v>
      </c>
      <c r="P61" s="3">
        <v>665887.12000000011</v>
      </c>
      <c r="R61" s="3">
        <v>140936.82</v>
      </c>
      <c r="S61" s="3">
        <f>1428465.63-125225.39</f>
        <v>1303240.24</v>
      </c>
      <c r="T61" s="3">
        <f t="shared" si="6"/>
        <v>1162303.42</v>
      </c>
      <c r="U61" s="32">
        <f t="shared" si="7"/>
        <v>9.2469820164808603</v>
      </c>
      <c r="W61" s="3">
        <v>1059069.93</v>
      </c>
      <c r="Y61" s="3">
        <v>148557.74</v>
      </c>
      <c r="Z61" s="34">
        <f>1050723-79311.66</f>
        <v>971411.34</v>
      </c>
      <c r="AA61" s="3">
        <f t="shared" si="8"/>
        <v>822853.6</v>
      </c>
      <c r="AB61" s="32">
        <f t="shared" si="9"/>
        <v>6.5389480211532565</v>
      </c>
      <c r="AD61" s="3">
        <v>703263.92999999993</v>
      </c>
      <c r="AF61" s="3">
        <v>2005378.9800000002</v>
      </c>
      <c r="AG61" s="34">
        <f>1130143.98-140728.71</f>
        <v>989415.27</v>
      </c>
      <c r="AH61" s="3">
        <f t="shared" si="10"/>
        <v>-1015963.7100000002</v>
      </c>
      <c r="AI61" s="32">
        <f t="shared" si="11"/>
        <v>0.49338069256116363</v>
      </c>
      <c r="AK61" s="3">
        <v>17251952.810000002</v>
      </c>
      <c r="AM61" s="3">
        <v>123686.56999999999</v>
      </c>
      <c r="AN61" s="3">
        <f>1681875.67-453562</f>
        <v>1228313.67</v>
      </c>
      <c r="AO61" s="3">
        <f t="shared" si="12"/>
        <v>1104627.0999999999</v>
      </c>
      <c r="AP61" s="32">
        <f t="shared" si="13"/>
        <v>9.9308572466679284</v>
      </c>
      <c r="AR61" s="3">
        <v>629419.91</v>
      </c>
      <c r="AT61" s="3">
        <v>117468.26</v>
      </c>
      <c r="AU61" s="3">
        <f>1194933.2-20123.74</f>
        <v>1174809.46</v>
      </c>
      <c r="AV61" s="3">
        <f t="shared" si="14"/>
        <v>1057341.2</v>
      </c>
      <c r="AW61" s="32">
        <f t="shared" si="15"/>
        <v>10.001079951299186</v>
      </c>
      <c r="AY61" s="3">
        <v>846652.51</v>
      </c>
      <c r="BA61" s="3">
        <v>2280495.6799999997</v>
      </c>
      <c r="BB61" s="3">
        <f>1245804.7-60214.6</f>
        <v>1185590.0999999999</v>
      </c>
      <c r="BC61" s="3">
        <f t="shared" si="16"/>
        <v>-1094905.5799999998</v>
      </c>
      <c r="BD61" s="32">
        <f t="shared" si="17"/>
        <v>0.51988263358604569</v>
      </c>
      <c r="BF61" s="3">
        <v>15401948.57</v>
      </c>
      <c r="BH61" s="3">
        <v>312070.64999999997</v>
      </c>
      <c r="BI61" s="3">
        <f>2716553.35-404454.3</f>
        <v>2312099.0500000003</v>
      </c>
      <c r="BJ61" s="3">
        <f t="shared" si="18"/>
        <v>2000028.4000000004</v>
      </c>
      <c r="BK61" s="32">
        <f t="shared" si="19"/>
        <v>7.4088961906542652</v>
      </c>
      <c r="BM61" s="3">
        <v>3251073.24</v>
      </c>
      <c r="BO61" s="3">
        <v>236995.11000000004</v>
      </c>
      <c r="BP61" s="3">
        <f>8308476.84-888649.58</f>
        <v>7419827.2599999998</v>
      </c>
      <c r="BQ61" s="3">
        <f t="shared" si="20"/>
        <v>7182832.1499999994</v>
      </c>
      <c r="BR61" s="32">
        <f t="shared" si="21"/>
        <v>31.307933990705539</v>
      </c>
      <c r="BT61" s="3">
        <f>2362574.73-45560.37</f>
        <v>2317014.36</v>
      </c>
      <c r="BV61" s="3">
        <v>118155.01999999999</v>
      </c>
      <c r="BW61" s="34">
        <f>14964273.93-75794.46</f>
        <v>14888479.469999999</v>
      </c>
      <c r="BX61" s="3">
        <f t="shared" si="22"/>
        <v>14770324.449999999</v>
      </c>
      <c r="BY61" s="32">
        <f t="shared" si="23"/>
        <v>126.00801447115832</v>
      </c>
      <c r="CA61" s="3">
        <f>716858.94-21432.74</f>
        <v>695426.2</v>
      </c>
      <c r="CC61" s="3">
        <v>127109.23</v>
      </c>
      <c r="CD61" s="3">
        <f>59803068.72-3496716.61</f>
        <v>56306352.109999999</v>
      </c>
      <c r="CE61" s="3">
        <f t="shared" si="24"/>
        <v>56179242.880000003</v>
      </c>
      <c r="CF61" s="32">
        <f t="shared" si="25"/>
        <v>442.97610889468848</v>
      </c>
      <c r="CH61" s="3">
        <f>1178474.97-21676.08</f>
        <v>1156798.8899999999</v>
      </c>
      <c r="CJ61" s="3">
        <f t="shared" si="26"/>
        <v>5882582.9699999997</v>
      </c>
      <c r="CK61" s="3">
        <f>+E61+L61+S61+Z61+AG61+AN61+AU61+BB61+BI61+BP61+BW61+CD61</f>
        <v>91592239.170000002</v>
      </c>
      <c r="CL61" s="3">
        <f t="shared" si="27"/>
        <v>85709656.200000003</v>
      </c>
      <c r="CM61" s="32">
        <f t="shared" si="28"/>
        <v>15.570071792799551</v>
      </c>
      <c r="CO61" s="3">
        <f>CH61+CA61+BT61+BM61+BF61+AY61+AR61+AK61+AD61+W61+P61+I61</f>
        <v>44591105.789999999</v>
      </c>
      <c r="CQ61" s="3">
        <f t="shared" si="1"/>
        <v>5882582.9699999997</v>
      </c>
      <c r="CR61" s="3">
        <f t="shared" si="1"/>
        <v>91592239.170000002</v>
      </c>
      <c r="CS61" s="3">
        <f t="shared" si="29"/>
        <v>85709656.200000003</v>
      </c>
      <c r="CT61" s="32">
        <f t="shared" si="30"/>
        <v>15.570071792799551</v>
      </c>
      <c r="CV61" s="3">
        <f t="shared" si="31"/>
        <v>44591105.790000014</v>
      </c>
      <c r="CX61" s="3">
        <f t="shared" si="32"/>
        <v>482259.36</v>
      </c>
      <c r="CY61" s="3">
        <f t="shared" si="33"/>
        <v>482259.36</v>
      </c>
      <c r="CZ61" s="3">
        <f t="shared" si="34"/>
        <v>554598.26399999997</v>
      </c>
      <c r="DA61" s="3">
        <f t="shared" si="35"/>
        <v>92146837.434</v>
      </c>
    </row>
    <row r="62" spans="1:106" s="31" customFormat="1" ht="16.5" customHeight="1" x14ac:dyDescent="0.3">
      <c r="A62" s="38"/>
      <c r="B62" s="39" t="s">
        <v>45</v>
      </c>
      <c r="D62" s="10">
        <f>D61</f>
        <v>144643.82</v>
      </c>
      <c r="E62" s="10">
        <f>E61</f>
        <v>1624040.38</v>
      </c>
      <c r="F62" s="10">
        <f t="shared" si="2"/>
        <v>1479396.5599999998</v>
      </c>
      <c r="G62" s="40">
        <f t="shared" si="3"/>
        <v>11.22785874985879</v>
      </c>
      <c r="I62" s="10">
        <f>SUM(I61:I61)</f>
        <v>612598.31999999995</v>
      </c>
      <c r="K62" s="6">
        <f>K61</f>
        <v>127085.09</v>
      </c>
      <c r="L62" s="6">
        <f>L61</f>
        <v>2188660.8199999998</v>
      </c>
      <c r="M62" s="10">
        <f t="shared" si="4"/>
        <v>2061575.7299999997</v>
      </c>
      <c r="N62" s="40">
        <f t="shared" si="5"/>
        <v>17.22201101639854</v>
      </c>
      <c r="P62" s="10">
        <v>1075787.1200000001</v>
      </c>
      <c r="R62" s="10">
        <f>R61</f>
        <v>140936.82</v>
      </c>
      <c r="S62" s="10">
        <f>S61</f>
        <v>1303240.24</v>
      </c>
      <c r="T62" s="10">
        <f t="shared" si="6"/>
        <v>1162303.42</v>
      </c>
      <c r="U62" s="40">
        <f t="shared" si="7"/>
        <v>9.2469820164808603</v>
      </c>
      <c r="W62" s="10">
        <f>SUM(W61:W61)</f>
        <v>1059069.93</v>
      </c>
      <c r="Y62" s="10">
        <f>Y61</f>
        <v>148557.74</v>
      </c>
      <c r="Z62" s="10">
        <f>Z61</f>
        <v>971411.34</v>
      </c>
      <c r="AA62" s="10">
        <f t="shared" si="8"/>
        <v>822853.6</v>
      </c>
      <c r="AB62" s="40">
        <f t="shared" si="9"/>
        <v>6.5389480211532565</v>
      </c>
      <c r="AD62" s="10">
        <f>SUM(AD61:AD61)</f>
        <v>703263.92999999993</v>
      </c>
      <c r="AF62" s="10">
        <f>AF61</f>
        <v>2005378.9800000002</v>
      </c>
      <c r="AG62" s="10">
        <f>AG61</f>
        <v>989415.27</v>
      </c>
      <c r="AH62" s="10">
        <f t="shared" si="10"/>
        <v>-1015963.7100000002</v>
      </c>
      <c r="AI62" s="40">
        <f t="shared" si="11"/>
        <v>0.49338069256116363</v>
      </c>
      <c r="AK62" s="10">
        <f>SUM(AK61:AK61)</f>
        <v>17251952.810000002</v>
      </c>
      <c r="AM62" s="10">
        <f>AM61</f>
        <v>123686.56999999999</v>
      </c>
      <c r="AN62" s="10">
        <f>AN61</f>
        <v>1228313.67</v>
      </c>
      <c r="AO62" s="10">
        <f t="shared" si="12"/>
        <v>1104627.0999999999</v>
      </c>
      <c r="AP62" s="40">
        <f t="shared" si="13"/>
        <v>9.9308572466679284</v>
      </c>
      <c r="AR62" s="10">
        <f>SUM(AR61:AR61)</f>
        <v>629419.91</v>
      </c>
      <c r="AT62" s="10">
        <f>SUM(AT61:AT61)</f>
        <v>117468.26</v>
      </c>
      <c r="AU62" s="10">
        <f>AU61</f>
        <v>1174809.46</v>
      </c>
      <c r="AV62" s="10">
        <f t="shared" si="14"/>
        <v>1057341.2</v>
      </c>
      <c r="AW62" s="40">
        <f t="shared" si="15"/>
        <v>10.001079951299186</v>
      </c>
      <c r="AY62" s="10">
        <f>SUM(AY61:AY61)</f>
        <v>846652.51</v>
      </c>
      <c r="BA62" s="10">
        <f>SUM(BA61:BA61)</f>
        <v>2280495.6799999997</v>
      </c>
      <c r="BB62" s="10">
        <f>SUM(BB61:BB61)</f>
        <v>1185590.0999999999</v>
      </c>
      <c r="BC62" s="10">
        <f t="shared" si="16"/>
        <v>-1094905.5799999998</v>
      </c>
      <c r="BD62" s="40">
        <f t="shared" si="17"/>
        <v>0.51988263358604569</v>
      </c>
      <c r="BF62" s="10">
        <f>SUM(BF61:BF61)</f>
        <v>15401948.57</v>
      </c>
      <c r="BH62" s="10">
        <f>SUM(BH61:BH61)</f>
        <v>312070.64999999997</v>
      </c>
      <c r="BI62" s="10">
        <f>SUM(BI61:BI61)</f>
        <v>2312099.0500000003</v>
      </c>
      <c r="BJ62" s="10">
        <f t="shared" si="18"/>
        <v>2000028.4000000004</v>
      </c>
      <c r="BK62" s="40">
        <f t="shared" si="19"/>
        <v>7.4088961906542652</v>
      </c>
      <c r="BM62" s="10">
        <f>SUM(BM61:BM61)</f>
        <v>3251073.24</v>
      </c>
      <c r="BO62" s="10">
        <f>SUM(BO61:BO61)</f>
        <v>236995.11000000004</v>
      </c>
      <c r="BP62" s="10">
        <f>SUM(BP61:BP61)</f>
        <v>7419827.2599999998</v>
      </c>
      <c r="BQ62" s="10">
        <f>BP62-BO62</f>
        <v>7182832.1499999994</v>
      </c>
      <c r="BR62" s="40">
        <f>IFERROR(BP62/BO62,0)</f>
        <v>31.307933990705539</v>
      </c>
      <c r="BT62" s="10">
        <f>SUM(BT61:BT61)</f>
        <v>2317014.36</v>
      </c>
      <c r="BV62" s="10">
        <f>SUM(BV61:BV61)</f>
        <v>118155.01999999999</v>
      </c>
      <c r="BW62" s="41">
        <f>SUM(BW61:BW61)</f>
        <v>14888479.469999999</v>
      </c>
      <c r="BX62" s="10">
        <f t="shared" si="22"/>
        <v>14770324.449999999</v>
      </c>
      <c r="BY62" s="40">
        <f t="shared" si="23"/>
        <v>126.00801447115832</v>
      </c>
      <c r="CA62" s="10">
        <f>SUM(CA61:CA61)</f>
        <v>695426.2</v>
      </c>
      <c r="CC62" s="10">
        <f>SUM(CC61:CC61)</f>
        <v>127109.23</v>
      </c>
      <c r="CD62" s="10">
        <f>SUM(CD61:CD61)</f>
        <v>56306352.109999999</v>
      </c>
      <c r="CE62" s="10">
        <f t="shared" si="24"/>
        <v>56179242.880000003</v>
      </c>
      <c r="CF62" s="40">
        <f t="shared" si="25"/>
        <v>442.97610889468848</v>
      </c>
      <c r="CH62" s="10">
        <f>SUM(CH61:CH61)</f>
        <v>1156798.8899999999</v>
      </c>
      <c r="CJ62" s="10">
        <f t="shared" si="26"/>
        <v>5882582.9699999997</v>
      </c>
      <c r="CK62" s="10">
        <f>SUM(CK61:CK61)</f>
        <v>91592239.170000002</v>
      </c>
      <c r="CL62" s="10">
        <f>CK62-CJ62</f>
        <v>85709656.200000003</v>
      </c>
      <c r="CM62" s="40">
        <f>IFERROR(CK62/CJ62,0)</f>
        <v>15.570071792799551</v>
      </c>
      <c r="CO62" s="10">
        <f>CH62+CA62+BT62+BM62+BF62+AY62+AR62+AK62+AD62+W62+P62+I62</f>
        <v>45001005.789999999</v>
      </c>
      <c r="CQ62" s="10">
        <f t="shared" si="1"/>
        <v>5882582.9699999997</v>
      </c>
      <c r="CR62" s="10">
        <f>+E62+L62+S62+Z62+AG62+AN62+AU62+BB62+BI62+BP62+BW62+CD62</f>
        <v>91592239.170000002</v>
      </c>
      <c r="CS62" s="10">
        <f t="shared" si="29"/>
        <v>85709656.200000003</v>
      </c>
      <c r="CT62" s="40">
        <f t="shared" si="30"/>
        <v>15.570071792799551</v>
      </c>
      <c r="CV62" s="10">
        <f t="shared" si="31"/>
        <v>45001005.790000014</v>
      </c>
      <c r="CX62" s="10">
        <f t="shared" si="32"/>
        <v>482259.36</v>
      </c>
      <c r="CY62" s="10">
        <f t="shared" si="33"/>
        <v>482259.36</v>
      </c>
      <c r="CZ62" s="10">
        <f t="shared" si="34"/>
        <v>554598.26399999997</v>
      </c>
      <c r="DA62" s="10">
        <f t="shared" si="35"/>
        <v>92146837.434</v>
      </c>
    </row>
    <row r="63" spans="1:106" s="31" customFormat="1" ht="16.5" customHeight="1" x14ac:dyDescent="0.3">
      <c r="A63" s="47"/>
      <c r="B63" s="48" t="s">
        <v>46</v>
      </c>
      <c r="D63" s="11">
        <f>D62+D59+D56+D33+D29</f>
        <v>123772950.13000001</v>
      </c>
      <c r="E63" s="11">
        <f>E62+E59+E56+E33+E29</f>
        <v>150937453.21000001</v>
      </c>
      <c r="F63" s="11">
        <f t="shared" si="2"/>
        <v>27164503.079999998</v>
      </c>
      <c r="G63" s="49">
        <f t="shared" si="3"/>
        <v>1.2194704339798708</v>
      </c>
      <c r="I63" s="11">
        <f>+I29+I33+I56+I59+I62</f>
        <v>121332418.16999999</v>
      </c>
      <c r="K63" s="8">
        <f>+K29+K33+K56+K59+K62</f>
        <v>23284769.210000001</v>
      </c>
      <c r="L63" s="8">
        <f>+L29+L33+L56+L59+L62</f>
        <v>42804440.119999997</v>
      </c>
      <c r="M63" s="11">
        <f t="shared" si="4"/>
        <v>19519670.909999996</v>
      </c>
      <c r="N63" s="49">
        <f t="shared" si="5"/>
        <v>1.8383020992802872</v>
      </c>
      <c r="P63" s="11">
        <f>+P29+P33+P56+P59+P62</f>
        <v>36167244.219999999</v>
      </c>
      <c r="R63" s="11">
        <f>+R29+R33+R56+R59+R62</f>
        <v>20363731.780000001</v>
      </c>
      <c r="S63" s="11">
        <f>+S29+S33+S56+S59+S62</f>
        <v>36145370.960000001</v>
      </c>
      <c r="T63" s="11">
        <f t="shared" si="6"/>
        <v>15781639.18</v>
      </c>
      <c r="U63" s="49">
        <f t="shared" si="7"/>
        <v>1.7749875784309705</v>
      </c>
      <c r="W63" s="11">
        <f>+W29+W33+W56+W59+W62</f>
        <v>34964252.219999999</v>
      </c>
      <c r="Y63" s="11">
        <f>+Y29+Y33+Y56+Y59+Y62</f>
        <v>20878981.170000002</v>
      </c>
      <c r="Z63" s="11">
        <f>+Z29+Z33+Z56+Z59+Z62</f>
        <v>39230898.990000002</v>
      </c>
      <c r="AA63" s="11">
        <f t="shared" si="8"/>
        <v>18351917.82</v>
      </c>
      <c r="AB63" s="49">
        <f t="shared" si="9"/>
        <v>1.8789661559908384</v>
      </c>
      <c r="AD63" s="11">
        <f>+AD29+AD33+AD56+AD59+AD62</f>
        <v>41218246.68</v>
      </c>
      <c r="AF63" s="11">
        <f>+AF29+AF33+AF56+AF59+AF62</f>
        <v>19702284.59</v>
      </c>
      <c r="AG63" s="11">
        <f>+AG29+AG33+AG56+AG59+AG62</f>
        <v>42392380.169999994</v>
      </c>
      <c r="AH63" s="11">
        <f t="shared" si="10"/>
        <v>22690095.579999994</v>
      </c>
      <c r="AI63" s="49">
        <f t="shared" si="11"/>
        <v>2.1516479460212685</v>
      </c>
      <c r="AK63" s="11">
        <f>+AK29+AK33+AK56+AK59+AK62</f>
        <v>47546796.460000008</v>
      </c>
      <c r="AM63" s="11">
        <f>+AM29+AM33+AM56+AM59+AM62</f>
        <v>21391556.289999995</v>
      </c>
      <c r="AN63" s="11">
        <f>+AN29+AN33+AN56+AN59+AN62</f>
        <v>60653632.530000001</v>
      </c>
      <c r="AO63" s="11">
        <f t="shared" si="12"/>
        <v>39262076.24000001</v>
      </c>
      <c r="AP63" s="49">
        <f t="shared" si="13"/>
        <v>2.8354006462986527</v>
      </c>
      <c r="AR63" s="11">
        <f>+AR29+AR33+AR56+AR59+AR62</f>
        <v>39044473.310000002</v>
      </c>
      <c r="AT63" s="11">
        <f>+AT29+AT33+AT56+AT59+AT62</f>
        <v>22670131.960000001</v>
      </c>
      <c r="AU63" s="11">
        <f>+AU29+AU33+AU56+AU59+AU62</f>
        <v>44933178.380000003</v>
      </c>
      <c r="AV63" s="11">
        <f t="shared" si="14"/>
        <v>22263046.420000002</v>
      </c>
      <c r="AW63" s="49">
        <f t="shared" si="15"/>
        <v>1.9820430890866327</v>
      </c>
      <c r="AY63" s="11">
        <f>+AY29+AY33+AY56+AY59+AY62</f>
        <v>39065816.230000004</v>
      </c>
      <c r="BA63" s="11">
        <f>+BA29+BA33+BA56+BA59+BA62</f>
        <v>22530323.59</v>
      </c>
      <c r="BB63" s="11">
        <f>+BB29+BB33+BB56+BB59+BB62</f>
        <v>34850674.880000003</v>
      </c>
      <c r="BC63" s="11">
        <f t="shared" si="16"/>
        <v>12320351.290000003</v>
      </c>
      <c r="BD63" s="49">
        <f t="shared" si="17"/>
        <v>1.5468341917409631</v>
      </c>
      <c r="BF63" s="11">
        <f>+BF29+BF33+BF56+BF59+BF62</f>
        <v>50705829.780000001</v>
      </c>
      <c r="BH63" s="11">
        <f>+BH29+BH33+BH56+BH59+BH62</f>
        <v>20158255.489999998</v>
      </c>
      <c r="BI63" s="11">
        <f>+BI29+BI33+BI56+BI59+BI62</f>
        <v>47973902.219999999</v>
      </c>
      <c r="BJ63" s="11">
        <f t="shared" si="18"/>
        <v>27815646.73</v>
      </c>
      <c r="BK63" s="49">
        <f t="shared" si="19"/>
        <v>2.3798637855244289</v>
      </c>
      <c r="BM63" s="11">
        <f>+BM29+BM33+BM56+BM59+BM62</f>
        <v>35293590.380000003</v>
      </c>
      <c r="BO63" s="11">
        <f>+BO29+BO33+BO56+BO59+BO62</f>
        <v>20164467.48</v>
      </c>
      <c r="BP63" s="11">
        <f>+BP29+BP33+BP56+BP59+BP62</f>
        <v>46931200.199999996</v>
      </c>
      <c r="BQ63" s="11">
        <f t="shared" si="20"/>
        <v>26766732.719999995</v>
      </c>
      <c r="BR63" s="49">
        <f t="shared" si="21"/>
        <v>2.3274207586462876</v>
      </c>
      <c r="BT63" s="11">
        <f>+BT29+BT33+BT56+BT59+BT62</f>
        <v>39606978.740000002</v>
      </c>
      <c r="BV63" s="11">
        <f>+BV29+BV33+BV56+BV59+BV62</f>
        <v>22100020.990000002</v>
      </c>
      <c r="BW63" s="50">
        <f>+BW29+BW33+BW56+BW59+BW62</f>
        <v>62147647.340000004</v>
      </c>
      <c r="BX63" s="11">
        <f t="shared" si="22"/>
        <v>40047626.350000001</v>
      </c>
      <c r="BY63" s="49">
        <f t="shared" si="23"/>
        <v>2.8121080685000743</v>
      </c>
      <c r="CA63" s="11">
        <f>+CA29+CA33+CA56+CA59+CA62</f>
        <v>35826880.600000001</v>
      </c>
      <c r="CC63" s="11">
        <f>+CC29+CC33+CC56+CC59+CC62</f>
        <v>20062043.699999999</v>
      </c>
      <c r="CD63" s="11">
        <f>+CD29+CD33+CD56+CD59+CD62</f>
        <v>106528850.96000001</v>
      </c>
      <c r="CE63" s="11">
        <f t="shared" si="24"/>
        <v>86466807.260000005</v>
      </c>
      <c r="CF63" s="49">
        <f t="shared" si="25"/>
        <v>5.3099700385958188</v>
      </c>
      <c r="CH63" s="11">
        <f>+CH29+CH33+CH56+CH59+CH62</f>
        <v>53187816.470000006</v>
      </c>
      <c r="CJ63" s="11">
        <f t="shared" si="26"/>
        <v>357079516.38000005</v>
      </c>
      <c r="CK63" s="11">
        <f>+CK29+CK33+CK56+CK59+CK62</f>
        <v>715529629.95999992</v>
      </c>
      <c r="CL63" s="11">
        <f t="shared" si="27"/>
        <v>358450113.57999986</v>
      </c>
      <c r="CM63" s="49">
        <f t="shared" si="28"/>
        <v>2.003838352907763</v>
      </c>
      <c r="CO63" s="11">
        <f>CH63+CA63+BT63+BM63+BF63+AY63+AR63+AK63+AD63+W63+P63+I63</f>
        <v>573960343.25999999</v>
      </c>
      <c r="CQ63" s="11">
        <f t="shared" si="1"/>
        <v>357079516.38000005</v>
      </c>
      <c r="CR63" s="11">
        <f t="shared" si="1"/>
        <v>715529629.96000016</v>
      </c>
      <c r="CS63" s="11">
        <f t="shared" si="29"/>
        <v>358450113.5800001</v>
      </c>
      <c r="CT63" s="49">
        <f t="shared" si="30"/>
        <v>2.0038383529077639</v>
      </c>
      <c r="CU63" s="51"/>
      <c r="CV63" s="11">
        <f t="shared" si="31"/>
        <v>573960343.26000011</v>
      </c>
      <c r="CX63" s="11">
        <f t="shared" si="32"/>
        <v>62326532.170000002</v>
      </c>
      <c r="CY63" s="11">
        <f t="shared" si="33"/>
        <v>62326532.170000002</v>
      </c>
      <c r="CZ63" s="11">
        <f t="shared" si="34"/>
        <v>71675511.995499998</v>
      </c>
      <c r="DA63" s="11">
        <f t="shared" si="35"/>
        <v>787205141.95550013</v>
      </c>
      <c r="DB63" s="31">
        <f>DA63/CQ63</f>
        <v>2.2045653862647363</v>
      </c>
    </row>
    <row r="64" spans="1:106" s="26" customFormat="1" ht="16.5" customHeight="1" x14ac:dyDescent="0.3">
      <c r="A64" s="35">
        <v>43</v>
      </c>
      <c r="B64" s="36" t="s">
        <v>47</v>
      </c>
      <c r="D64" s="5">
        <f>SUM(D65:D74)</f>
        <v>17936468</v>
      </c>
      <c r="E64" s="5">
        <f>SUM(E65:E74)</f>
        <v>15890471</v>
      </c>
      <c r="F64" s="5"/>
      <c r="G64" s="37"/>
      <c r="I64" s="5"/>
      <c r="K64" s="5">
        <f>SUM(K65:K74)</f>
        <v>20558990</v>
      </c>
      <c r="L64" s="5">
        <f>SUM(L65:L74)</f>
        <v>28772785</v>
      </c>
      <c r="M64" s="5"/>
      <c r="N64" s="37"/>
      <c r="P64" s="5"/>
      <c r="R64" s="5">
        <f>SUM(R65:R74)</f>
        <v>16156265</v>
      </c>
      <c r="S64" s="5">
        <f>SUM(S65:S74)</f>
        <v>18559577</v>
      </c>
      <c r="T64" s="5"/>
      <c r="U64" s="37"/>
      <c r="W64" s="5"/>
      <c r="Y64" s="5">
        <f>SUM(Y65:Y74)</f>
        <v>20864171</v>
      </c>
      <c r="Z64" s="5">
        <f>SUM(Z65:Z74)</f>
        <v>25663506</v>
      </c>
      <c r="AA64" s="5"/>
      <c r="AB64" s="37"/>
      <c r="AD64" s="5"/>
      <c r="AF64" s="5">
        <f>SUM(AF65:AF74)</f>
        <v>18046617</v>
      </c>
      <c r="AG64" s="5">
        <f>SUM(AG65:AG74)</f>
        <v>23580224</v>
      </c>
      <c r="AH64" s="5"/>
      <c r="AI64" s="37"/>
      <c r="AK64" s="5"/>
      <c r="AM64" s="5">
        <f>SUM(AM65:AM74)</f>
        <v>15875867</v>
      </c>
      <c r="AN64" s="5">
        <f>SUM(AN65:AN74)</f>
        <v>23074699</v>
      </c>
      <c r="AO64" s="5"/>
      <c r="AP64" s="37"/>
      <c r="AR64" s="5"/>
      <c r="AT64" s="5">
        <f>SUM(AT65:AT74)</f>
        <v>17169806</v>
      </c>
      <c r="AU64" s="5">
        <f>SUM(AU65:AU74)</f>
        <v>22176852</v>
      </c>
      <c r="AV64" s="5"/>
      <c r="AW64" s="37"/>
      <c r="AY64" s="5"/>
      <c r="BA64" s="5">
        <f>SUM(BA65:BA74)</f>
        <v>17517614</v>
      </c>
      <c r="BB64" s="5">
        <f>22740965-2787880</f>
        <v>19953085</v>
      </c>
      <c r="BC64" s="5"/>
      <c r="BD64" s="37"/>
      <c r="BF64" s="5"/>
      <c r="BH64" s="5">
        <f>SUM(BH65:BH74)</f>
        <v>17706405</v>
      </c>
      <c r="BI64" s="5">
        <f>SUM(BI65:BI74)</f>
        <v>18624739</v>
      </c>
      <c r="BJ64" s="5"/>
      <c r="BK64" s="37"/>
      <c r="BM64" s="5"/>
      <c r="BO64" s="5">
        <f>SUM(BO65:BO74)</f>
        <v>16107352</v>
      </c>
      <c r="BP64" s="5">
        <f>SUM(BP65:BP74)</f>
        <v>18400055</v>
      </c>
      <c r="BQ64" s="5"/>
      <c r="BR64" s="37"/>
      <c r="BT64" s="5"/>
      <c r="BV64" s="5">
        <f>SUM(BV65:BV74)</f>
        <v>16336437</v>
      </c>
      <c r="BW64" s="5">
        <f>SUM(BW65:BW74)</f>
        <v>20790235</v>
      </c>
      <c r="BX64" s="5"/>
      <c r="BY64" s="37"/>
      <c r="CA64" s="5"/>
      <c r="CC64" s="5">
        <f>SUM(CC65:CC74)</f>
        <v>16569165</v>
      </c>
      <c r="CD64" s="5"/>
      <c r="CE64" s="5"/>
      <c r="CF64" s="37"/>
      <c r="CH64" s="5"/>
      <c r="CJ64" s="5">
        <f t="shared" si="26"/>
        <v>210845157</v>
      </c>
      <c r="CK64" s="5">
        <f>SUM(CK65:CK74)</f>
        <v>259767663</v>
      </c>
      <c r="CL64" s="5"/>
      <c r="CM64" s="37"/>
      <c r="CO64" s="5"/>
      <c r="CQ64" s="5"/>
      <c r="CR64" s="5"/>
      <c r="CS64" s="5"/>
      <c r="CT64" s="37"/>
      <c r="CV64" s="5"/>
      <c r="CX64" s="5">
        <f t="shared" si="32"/>
        <v>49012954</v>
      </c>
      <c r="CY64" s="5">
        <f t="shared" si="33"/>
        <v>49012954</v>
      </c>
      <c r="CZ64" s="5">
        <f t="shared" si="34"/>
        <v>56364897.099999994</v>
      </c>
      <c r="DA64" s="5">
        <f t="shared" si="35"/>
        <v>56364897.099999994</v>
      </c>
    </row>
    <row r="65" spans="1:105" s="26" customFormat="1" ht="16.5" customHeight="1" x14ac:dyDescent="0.3">
      <c r="A65" s="29"/>
      <c r="B65" s="30" t="s">
        <v>48</v>
      </c>
      <c r="D65" s="3">
        <v>11747063</v>
      </c>
      <c r="E65" s="3">
        <v>10023159</v>
      </c>
      <c r="F65" s="3">
        <f t="shared" si="2"/>
        <v>-1723904</v>
      </c>
      <c r="G65" s="32">
        <f t="shared" si="3"/>
        <v>0.85324808422326504</v>
      </c>
      <c r="I65" s="3">
        <v>10913847</v>
      </c>
      <c r="K65" s="33">
        <v>13824119</v>
      </c>
      <c r="L65" s="3">
        <f>13308572-862352</f>
        <v>12446220</v>
      </c>
      <c r="M65" s="3">
        <f t="shared" ref="M65:M84" si="40">L65-K65</f>
        <v>-1377899</v>
      </c>
      <c r="N65" s="32">
        <f t="shared" ref="N65:N84" si="41">IFERROR(L65/K65,0)</f>
        <v>0.90032645118289278</v>
      </c>
      <c r="P65" s="3">
        <v>12838917</v>
      </c>
      <c r="R65" s="3">
        <v>10344017</v>
      </c>
      <c r="S65" s="3">
        <v>10410599</v>
      </c>
      <c r="T65" s="3">
        <f t="shared" ref="T65:T82" si="42">S65-R65</f>
        <v>66582</v>
      </c>
      <c r="U65" s="32">
        <f t="shared" ref="U65:U84" si="43">IFERROR(S65/R65,0)</f>
        <v>1.0064367643633996</v>
      </c>
      <c r="W65" s="3">
        <v>9601410</v>
      </c>
      <c r="Y65" s="3">
        <v>13947917</v>
      </c>
      <c r="Z65" s="34">
        <f>29525050-11463292</f>
        <v>18061758</v>
      </c>
      <c r="AA65" s="3">
        <f t="shared" ref="AA65:AA82" si="44">Z65-Y65</f>
        <v>4113841</v>
      </c>
      <c r="AB65" s="32">
        <f t="shared" ref="AB65:AB84" si="45">IFERROR(Z65/Y65,0)</f>
        <v>1.2949430370140573</v>
      </c>
      <c r="AD65" s="3">
        <v>12950222</v>
      </c>
      <c r="AF65" s="3">
        <v>12063435</v>
      </c>
      <c r="AG65" s="34">
        <v>13248013</v>
      </c>
      <c r="AH65" s="3">
        <f t="shared" ref="AH65:AH82" si="46">AG65-AF65</f>
        <v>1184578</v>
      </c>
      <c r="AI65" s="32">
        <f t="shared" ref="AI65:AI84" si="47">IFERROR(AG65/AF65,0)</f>
        <v>1.0981957460706673</v>
      </c>
      <c r="AK65" s="3">
        <v>11201261</v>
      </c>
      <c r="AM65" s="3">
        <v>10220219</v>
      </c>
      <c r="AN65" s="3">
        <v>14359103</v>
      </c>
      <c r="AO65" s="3">
        <f t="shared" ref="AO65:AO82" si="48">AN65-AM65</f>
        <v>4138884</v>
      </c>
      <c r="AP65" s="32">
        <f t="shared" ref="AP65:AP84" si="49">IFERROR(AN65/AM65,0)</f>
        <v>1.4049701870380664</v>
      </c>
      <c r="AR65" s="3">
        <v>9491951</v>
      </c>
      <c r="AT65" s="3">
        <v>11238115</v>
      </c>
      <c r="AU65" s="3">
        <f>21702235-9216182</f>
        <v>12486053</v>
      </c>
      <c r="AV65" s="3">
        <f t="shared" ref="AV65:AV82" si="50">AU65-AT65</f>
        <v>1247938</v>
      </c>
      <c r="AW65" s="32">
        <f t="shared" ref="AW65:AW84" si="51">IFERROR(AU65/AT65,0)</f>
        <v>1.1110451352384274</v>
      </c>
      <c r="AY65" s="3">
        <v>10437193</v>
      </c>
      <c r="BA65" s="3">
        <v>11416934</v>
      </c>
      <c r="BB65" s="3">
        <v>13313462</v>
      </c>
      <c r="BC65" s="3">
        <f t="shared" ref="BC65:BC82" si="52">BB65-BA65</f>
        <v>1896528</v>
      </c>
      <c r="BD65" s="32">
        <f t="shared" ref="BD65:BD84" si="53">IFERROR(BB65/BA65,0)</f>
        <v>1.1661153511091507</v>
      </c>
      <c r="BF65" s="3">
        <v>10599809</v>
      </c>
      <c r="BH65" s="3">
        <v>11485711</v>
      </c>
      <c r="BI65" s="3">
        <v>11230743</v>
      </c>
      <c r="BJ65" s="3">
        <f t="shared" ref="BJ65:BJ82" si="54">BI65-BH65</f>
        <v>-254968</v>
      </c>
      <c r="BK65" s="32">
        <f t="shared" ref="BK65:BK84" si="55">IFERROR(BI65/BH65,0)</f>
        <v>0.97780128718196024</v>
      </c>
      <c r="BM65" s="3">
        <v>10712536</v>
      </c>
      <c r="BO65" s="3">
        <v>10206464</v>
      </c>
      <c r="BP65" s="3">
        <f>11969942-1855729</f>
        <v>10114213</v>
      </c>
      <c r="BQ65" s="3">
        <f t="shared" ref="BQ65:BQ82" si="56">BP65-BO65</f>
        <v>-92251</v>
      </c>
      <c r="BR65" s="32">
        <f t="shared" ref="BR65:BR84" si="57">IFERROR(BP65/BO65,0)</f>
        <v>0.99096151223381579</v>
      </c>
      <c r="BT65" s="3">
        <f>39292778-29864709</f>
        <v>9428069</v>
      </c>
      <c r="BV65" s="3">
        <v>10467816</v>
      </c>
      <c r="BW65" s="34">
        <f>11211446</f>
        <v>11211446</v>
      </c>
      <c r="BX65" s="3">
        <f t="shared" ref="BX65:BX82" si="58">BW65-BV65</f>
        <v>743630</v>
      </c>
      <c r="BY65" s="32">
        <f t="shared" ref="BY65:BY84" si="59">IFERROR(BW65/BV65,0)</f>
        <v>1.0710396514420963</v>
      </c>
      <c r="CA65" s="3">
        <f>17326556-7606221</f>
        <v>9720335</v>
      </c>
      <c r="CC65" s="3">
        <v>10591612</v>
      </c>
      <c r="CD65" s="3">
        <v>11830760</v>
      </c>
      <c r="CE65" s="3">
        <f t="shared" ref="CE65:CE82" si="60">CD65-CC65</f>
        <v>1239148</v>
      </c>
      <c r="CF65" s="32">
        <f t="shared" ref="CF65:CF84" si="61">IFERROR(CD65/CC65,0)</f>
        <v>1.1169933339703153</v>
      </c>
      <c r="CH65" s="3">
        <v>9837251</v>
      </c>
      <c r="CJ65" s="3">
        <f t="shared" si="26"/>
        <v>137553422</v>
      </c>
      <c r="CK65" s="3">
        <f t="shared" ref="CK65:CK74" si="62">+E65+L65+S65+Z65+AG65+AN65+AU65+BB65+BI65+BP65+BW65+CD65</f>
        <v>148735529</v>
      </c>
      <c r="CL65" s="3">
        <f t="shared" ref="CL65:CL82" si="63">CK65-CJ65</f>
        <v>11182107</v>
      </c>
      <c r="CM65" s="32">
        <f t="shared" ref="CM65:CM84" si="64">IFERROR(CK65/CJ65,0)</f>
        <v>1.0812928303593929</v>
      </c>
      <c r="CO65" s="3">
        <f t="shared" ref="CO65:CO72" si="65">CH65+CA65+BT65+BM65+BF65+AY65+AR65+AK65+AD65+W65+P65+I65</f>
        <v>127732801</v>
      </c>
      <c r="CQ65" s="3">
        <f t="shared" ref="CQ65:CR75" si="66">+D65+K65+R65+Y65+AF65+AM65+AT65+BA65+BH65+BO65+BV65+CC65</f>
        <v>137553422</v>
      </c>
      <c r="CR65" s="3">
        <f t="shared" si="66"/>
        <v>148735529</v>
      </c>
      <c r="CS65" s="3">
        <f t="shared" ref="CS65:CS82" si="67">CR65-CQ65</f>
        <v>11182107</v>
      </c>
      <c r="CT65" s="32">
        <f t="shared" ref="CT65:CT84" si="68">IFERROR(CR65/CQ65,0)</f>
        <v>1.0812928303593929</v>
      </c>
      <c r="CV65" s="3">
        <f t="shared" ref="CV65:CV75" si="69">+I65+P65+W65+AD65+AK65+AR65+AY65+BF65+BM65+BT65+CA65+CH65</f>
        <v>127732801</v>
      </c>
      <c r="CX65" s="3">
        <f t="shared" si="32"/>
        <v>31265892</v>
      </c>
      <c r="CY65" s="3">
        <f t="shared" si="33"/>
        <v>31265892</v>
      </c>
      <c r="CZ65" s="3">
        <f>CY65</f>
        <v>31265892</v>
      </c>
      <c r="DA65" s="3">
        <f t="shared" si="35"/>
        <v>180001421</v>
      </c>
    </row>
    <row r="66" spans="1:105" s="26" customFormat="1" ht="16.5" customHeight="1" x14ac:dyDescent="0.3">
      <c r="A66" s="29"/>
      <c r="B66" s="30" t="s">
        <v>49</v>
      </c>
      <c r="D66" s="3">
        <v>4064062</v>
      </c>
      <c r="E66" s="3">
        <v>3651597</v>
      </c>
      <c r="F66" s="3">
        <f t="shared" si="2"/>
        <v>-412465</v>
      </c>
      <c r="G66" s="32">
        <f t="shared" si="3"/>
        <v>0.89850917628717275</v>
      </c>
      <c r="I66" s="3">
        <v>3802878</v>
      </c>
      <c r="K66" s="33">
        <v>4504455</v>
      </c>
      <c r="L66" s="3">
        <f>4310702-259083</f>
        <v>4051619</v>
      </c>
      <c r="M66" s="3">
        <f t="shared" si="40"/>
        <v>-452836</v>
      </c>
      <c r="N66" s="32">
        <f t="shared" si="41"/>
        <v>0.89946930316764184</v>
      </c>
      <c r="P66" s="3">
        <v>4216851</v>
      </c>
      <c r="R66" s="3">
        <v>3762488</v>
      </c>
      <c r="S66" s="3">
        <v>3789927</v>
      </c>
      <c r="T66" s="3">
        <f t="shared" si="42"/>
        <v>27439</v>
      </c>
      <c r="U66" s="32">
        <f t="shared" si="43"/>
        <v>1.0072927807344503</v>
      </c>
      <c r="W66" s="3">
        <v>3519603</v>
      </c>
      <c r="Y66" s="3">
        <v>4494881</v>
      </c>
      <c r="Z66" s="34">
        <f>6672325-1564976</f>
        <v>5107349</v>
      </c>
      <c r="AA66" s="3">
        <f t="shared" si="44"/>
        <v>612468</v>
      </c>
      <c r="AB66" s="32">
        <f t="shared" si="45"/>
        <v>1.1362590021849299</v>
      </c>
      <c r="AD66" s="3">
        <v>4204721</v>
      </c>
      <c r="AF66" s="3">
        <v>4054488</v>
      </c>
      <c r="AG66" s="34">
        <f>4272371-111559</f>
        <v>4160812</v>
      </c>
      <c r="AH66" s="3">
        <f t="shared" si="46"/>
        <v>106324</v>
      </c>
      <c r="AI66" s="32">
        <f t="shared" si="47"/>
        <v>1.0262237796732905</v>
      </c>
      <c r="AK66" s="3">
        <v>3796949</v>
      </c>
      <c r="AM66" s="3">
        <v>3657177</v>
      </c>
      <c r="AN66" s="3">
        <v>4476782</v>
      </c>
      <c r="AO66" s="3">
        <f t="shared" si="48"/>
        <v>819605</v>
      </c>
      <c r="AP66" s="32">
        <f t="shared" si="49"/>
        <v>1.224108649923151</v>
      </c>
      <c r="AR66" s="3">
        <v>3422707</v>
      </c>
      <c r="AT66" s="3">
        <v>3949176</v>
      </c>
      <c r="AU66" s="3">
        <f>5526215-1380896</f>
        <v>4145319</v>
      </c>
      <c r="AV66" s="3">
        <f t="shared" si="50"/>
        <v>196143</v>
      </c>
      <c r="AW66" s="32">
        <f t="shared" si="51"/>
        <v>1.0496668165713556</v>
      </c>
      <c r="AY66" s="3">
        <v>3697420</v>
      </c>
      <c r="BA66" s="3">
        <v>3982685</v>
      </c>
      <c r="BB66" s="3">
        <f>7073047-2787880</f>
        <v>4285167</v>
      </c>
      <c r="BC66" s="3">
        <f t="shared" si="52"/>
        <v>302482</v>
      </c>
      <c r="BD66" s="32">
        <f t="shared" si="53"/>
        <v>1.0759492653825247</v>
      </c>
      <c r="BF66" s="3">
        <v>3726836</v>
      </c>
      <c r="BH66" s="3">
        <v>3992258</v>
      </c>
      <c r="BI66" s="3">
        <v>3918648</v>
      </c>
      <c r="BJ66" s="3">
        <f t="shared" si="54"/>
        <v>-73610</v>
      </c>
      <c r="BK66" s="32">
        <f t="shared" si="55"/>
        <v>0.98156181288884636</v>
      </c>
      <c r="BM66" s="3">
        <v>3764275</v>
      </c>
      <c r="BO66" s="3">
        <v>3757701</v>
      </c>
      <c r="BP66" s="3">
        <f>4048733-361623</f>
        <v>3687110</v>
      </c>
      <c r="BQ66" s="3">
        <f t="shared" si="56"/>
        <v>-70591</v>
      </c>
      <c r="BR66" s="32">
        <f t="shared" si="57"/>
        <v>0.98121431162298434</v>
      </c>
      <c r="BT66" s="3">
        <f>8097149-4607553</f>
        <v>3489596</v>
      </c>
      <c r="BV66" s="3">
        <v>3815144</v>
      </c>
      <c r="BW66" s="34">
        <f>3914546</f>
        <v>3914546</v>
      </c>
      <c r="BX66" s="3">
        <f t="shared" si="58"/>
        <v>99402</v>
      </c>
      <c r="BY66" s="32">
        <f t="shared" si="59"/>
        <v>1.0260545866682882</v>
      </c>
      <c r="CA66" s="3">
        <f>4697780-1129282</f>
        <v>3568498</v>
      </c>
      <c r="CC66" s="3">
        <v>3834291</v>
      </c>
      <c r="CD66" s="3">
        <v>4008617</v>
      </c>
      <c r="CE66" s="3">
        <f t="shared" si="60"/>
        <v>174326</v>
      </c>
      <c r="CF66" s="32">
        <f t="shared" si="61"/>
        <v>1.0454649894856702</v>
      </c>
      <c r="CH66" s="3">
        <v>3588860</v>
      </c>
      <c r="CJ66" s="3">
        <f t="shared" si="26"/>
        <v>47868806</v>
      </c>
      <c r="CK66" s="3">
        <f t="shared" si="62"/>
        <v>49197493</v>
      </c>
      <c r="CL66" s="3">
        <f t="shared" si="63"/>
        <v>1328687</v>
      </c>
      <c r="CM66" s="32">
        <f t="shared" si="64"/>
        <v>1.0277568444051017</v>
      </c>
      <c r="CO66" s="3">
        <f t="shared" si="65"/>
        <v>44799194</v>
      </c>
      <c r="CQ66" s="3">
        <f t="shared" si="66"/>
        <v>47868806</v>
      </c>
      <c r="CR66" s="3">
        <f t="shared" si="66"/>
        <v>49197493</v>
      </c>
      <c r="CS66" s="3">
        <f t="shared" si="67"/>
        <v>1328687</v>
      </c>
      <c r="CT66" s="32">
        <f t="shared" si="68"/>
        <v>1.0277568444051017</v>
      </c>
      <c r="CV66" s="3">
        <f t="shared" si="69"/>
        <v>44799194</v>
      </c>
      <c r="CX66" s="3">
        <f t="shared" si="32"/>
        <v>11407136</v>
      </c>
      <c r="CY66" s="3">
        <f t="shared" si="33"/>
        <v>11407136</v>
      </c>
      <c r="CZ66" s="3">
        <f t="shared" ref="CZ66:CZ79" si="70">CY66</f>
        <v>11407136</v>
      </c>
      <c r="DA66" s="3">
        <f t="shared" si="35"/>
        <v>60604629</v>
      </c>
    </row>
    <row r="67" spans="1:105" s="26" customFormat="1" ht="16.5" customHeight="1" x14ac:dyDescent="0.3">
      <c r="A67" s="29"/>
      <c r="B67" s="30" t="s">
        <v>50</v>
      </c>
      <c r="D67" s="3">
        <v>247995</v>
      </c>
      <c r="E67" s="3">
        <v>271130</v>
      </c>
      <c r="F67" s="3">
        <f t="shared" si="2"/>
        <v>23135</v>
      </c>
      <c r="G67" s="32">
        <f t="shared" si="3"/>
        <v>1.0932881711324824</v>
      </c>
      <c r="I67" s="3">
        <v>229472</v>
      </c>
      <c r="K67" s="33">
        <v>346841</v>
      </c>
      <c r="L67" s="3">
        <f>363516-35922</f>
        <v>327594</v>
      </c>
      <c r="M67" s="3">
        <f t="shared" si="40"/>
        <v>-19247</v>
      </c>
      <c r="N67" s="32">
        <f t="shared" si="41"/>
        <v>0.94450771390925525</v>
      </c>
      <c r="P67" s="3">
        <v>320754</v>
      </c>
      <c r="R67" s="3">
        <v>339805</v>
      </c>
      <c r="S67" s="3">
        <v>264891</v>
      </c>
      <c r="T67" s="3">
        <f t="shared" si="42"/>
        <v>-74914</v>
      </c>
      <c r="U67" s="32">
        <f t="shared" si="43"/>
        <v>0.7795382645929283</v>
      </c>
      <c r="W67" s="3">
        <v>314174</v>
      </c>
      <c r="Y67" s="3">
        <v>210707</v>
      </c>
      <c r="Z67" s="34">
        <f>587318-293659</f>
        <v>293659</v>
      </c>
      <c r="AA67" s="3">
        <f t="shared" si="44"/>
        <v>82952</v>
      </c>
      <c r="AB67" s="32">
        <f t="shared" si="45"/>
        <v>1.393684120603492</v>
      </c>
      <c r="AD67" s="3">
        <v>194904</v>
      </c>
      <c r="AF67" s="3">
        <v>211763</v>
      </c>
      <c r="AG67" s="34">
        <v>325498</v>
      </c>
      <c r="AH67" s="3">
        <f t="shared" si="46"/>
        <v>113735</v>
      </c>
      <c r="AI67" s="32">
        <f t="shared" si="47"/>
        <v>1.5370862709727384</v>
      </c>
      <c r="AK67" s="3">
        <v>195900</v>
      </c>
      <c r="AM67" s="3">
        <v>294076</v>
      </c>
      <c r="AN67" s="3">
        <f>270887-43365</f>
        <v>227522</v>
      </c>
      <c r="AO67" s="3">
        <f t="shared" si="48"/>
        <v>-66554</v>
      </c>
      <c r="AP67" s="32">
        <f t="shared" si="49"/>
        <v>0.77368435370448452</v>
      </c>
      <c r="AR67" s="3">
        <v>271929</v>
      </c>
      <c r="AT67" s="3">
        <v>263824</v>
      </c>
      <c r="AU67" s="3">
        <f>615988-307994</f>
        <v>307994</v>
      </c>
      <c r="AV67" s="3">
        <f t="shared" si="50"/>
        <v>44170</v>
      </c>
      <c r="AW67" s="32">
        <f t="shared" si="51"/>
        <v>1.1674222208745224</v>
      </c>
      <c r="AY67" s="3">
        <v>244078</v>
      </c>
      <c r="BA67" s="3">
        <v>289503</v>
      </c>
      <c r="BB67" s="3">
        <v>316223</v>
      </c>
      <c r="BC67" s="3">
        <f t="shared" si="52"/>
        <v>26720</v>
      </c>
      <c r="BD67" s="32">
        <f t="shared" si="53"/>
        <v>1.0922961074669346</v>
      </c>
      <c r="BF67" s="3">
        <v>267606</v>
      </c>
      <c r="BH67" s="3">
        <v>315182</v>
      </c>
      <c r="BI67" s="3">
        <v>281885</v>
      </c>
      <c r="BJ67" s="3">
        <f t="shared" si="54"/>
        <v>-33297</v>
      </c>
      <c r="BK67" s="32">
        <f t="shared" si="55"/>
        <v>0.89435627669092777</v>
      </c>
      <c r="BM67" s="3">
        <v>226857</v>
      </c>
      <c r="BO67" s="3">
        <v>413676</v>
      </c>
      <c r="BP67" s="3">
        <f>412925</f>
        <v>412925</v>
      </c>
      <c r="BQ67" s="3">
        <f t="shared" si="56"/>
        <v>-751</v>
      </c>
      <c r="BR67" s="32">
        <f t="shared" si="57"/>
        <v>0.99818456956652069</v>
      </c>
      <c r="BT67" s="3">
        <f>1177600-730294</f>
        <v>447306</v>
      </c>
      <c r="BV67" s="3">
        <v>290910</v>
      </c>
      <c r="BW67" s="34">
        <v>236161</v>
      </c>
      <c r="BX67" s="3">
        <f t="shared" si="58"/>
        <v>-54749</v>
      </c>
      <c r="BY67" s="32">
        <f t="shared" si="59"/>
        <v>0.81180090062218557</v>
      </c>
      <c r="CA67" s="3">
        <f>496070-226857</f>
        <v>269213</v>
      </c>
      <c r="CC67" s="3">
        <v>293371</v>
      </c>
      <c r="CD67" s="3">
        <v>291204</v>
      </c>
      <c r="CE67" s="3">
        <f t="shared" si="60"/>
        <v>-2167</v>
      </c>
      <c r="CF67" s="32">
        <f t="shared" si="61"/>
        <v>0.99261344850036304</v>
      </c>
      <c r="CH67" s="3">
        <v>271310</v>
      </c>
      <c r="CJ67" s="3">
        <f t="shared" si="26"/>
        <v>3517653</v>
      </c>
      <c r="CK67" s="3">
        <f t="shared" si="62"/>
        <v>3556686</v>
      </c>
      <c r="CL67" s="3">
        <f t="shared" si="63"/>
        <v>39033</v>
      </c>
      <c r="CM67" s="32">
        <f t="shared" si="64"/>
        <v>1.0110963190513675</v>
      </c>
      <c r="CO67" s="3">
        <f t="shared" si="65"/>
        <v>3253503</v>
      </c>
      <c r="CQ67" s="3">
        <f t="shared" si="66"/>
        <v>3517653</v>
      </c>
      <c r="CR67" s="3">
        <f t="shared" si="66"/>
        <v>3556686</v>
      </c>
      <c r="CS67" s="3">
        <f t="shared" si="67"/>
        <v>39033</v>
      </c>
      <c r="CT67" s="32">
        <f t="shared" si="68"/>
        <v>1.0110963190513675</v>
      </c>
      <c r="CV67" s="3">
        <f t="shared" si="69"/>
        <v>3253503</v>
      </c>
      <c r="CX67" s="3">
        <f t="shared" si="32"/>
        <v>997957</v>
      </c>
      <c r="CY67" s="3">
        <f t="shared" si="33"/>
        <v>997957</v>
      </c>
      <c r="CZ67" s="3">
        <f t="shared" si="70"/>
        <v>997957</v>
      </c>
      <c r="DA67" s="3">
        <f t="shared" si="35"/>
        <v>4554643</v>
      </c>
    </row>
    <row r="68" spans="1:105" s="26" customFormat="1" ht="16.5" customHeight="1" x14ac:dyDescent="0.3">
      <c r="A68" s="29"/>
      <c r="B68" s="30" t="s">
        <v>51</v>
      </c>
      <c r="D68" s="3">
        <v>801334</v>
      </c>
      <c r="E68" s="3">
        <v>559561</v>
      </c>
      <c r="F68" s="3">
        <f t="shared" si="2"/>
        <v>-241773</v>
      </c>
      <c r="G68" s="32">
        <f t="shared" si="3"/>
        <v>0.69828685666650858</v>
      </c>
      <c r="I68" s="3">
        <v>708211</v>
      </c>
      <c r="K68" s="33">
        <v>604206</v>
      </c>
      <c r="L68" s="3">
        <f>559561-6677</f>
        <v>552884</v>
      </c>
      <c r="M68" s="3">
        <f t="shared" si="40"/>
        <v>-51322</v>
      </c>
      <c r="N68" s="32">
        <f t="shared" si="41"/>
        <v>0.91505877134619651</v>
      </c>
      <c r="P68" s="3">
        <v>534315</v>
      </c>
      <c r="R68" s="3">
        <v>604206</v>
      </c>
      <c r="S68" s="3">
        <v>559561</v>
      </c>
      <c r="T68" s="3">
        <f t="shared" si="42"/>
        <v>-44645</v>
      </c>
      <c r="U68" s="32">
        <f t="shared" si="43"/>
        <v>0.92610963810356073</v>
      </c>
      <c r="W68" s="3">
        <v>534315</v>
      </c>
      <c r="Y68" s="3">
        <v>1191583</v>
      </c>
      <c r="Z68" s="34">
        <f>1336489-559561</f>
        <v>776928</v>
      </c>
      <c r="AA68" s="3">
        <f t="shared" si="44"/>
        <v>-414655</v>
      </c>
      <c r="AB68" s="32">
        <f t="shared" si="45"/>
        <v>0.6520133301666774</v>
      </c>
      <c r="AD68" s="3">
        <v>1053524</v>
      </c>
      <c r="AF68" s="3">
        <v>582570</v>
      </c>
      <c r="AG68" s="34">
        <f>559561-83898</f>
        <v>475663</v>
      </c>
      <c r="AH68" s="3">
        <f t="shared" si="46"/>
        <v>-106907</v>
      </c>
      <c r="AI68" s="32">
        <f t="shared" si="47"/>
        <v>0.81649072214497831</v>
      </c>
      <c r="AK68" s="3">
        <v>514655</v>
      </c>
      <c r="AM68" s="3">
        <v>604206</v>
      </c>
      <c r="AN68" s="3">
        <v>559561</v>
      </c>
      <c r="AO68" s="3">
        <f t="shared" si="48"/>
        <v>-44645</v>
      </c>
      <c r="AP68" s="32">
        <f t="shared" si="49"/>
        <v>0.92610963810356073</v>
      </c>
      <c r="AR68" s="3">
        <v>534315</v>
      </c>
      <c r="AT68" s="3">
        <v>604206</v>
      </c>
      <c r="AU68" s="3">
        <f>2242324-1121162</f>
        <v>1121162</v>
      </c>
      <c r="AV68" s="3">
        <f t="shared" si="50"/>
        <v>516956</v>
      </c>
      <c r="AW68" s="32">
        <f t="shared" si="51"/>
        <v>1.8555956081204092</v>
      </c>
      <c r="AY68" s="3">
        <v>534315</v>
      </c>
      <c r="BA68" s="3">
        <v>604206</v>
      </c>
      <c r="BB68" s="3">
        <v>559561</v>
      </c>
      <c r="BC68" s="3">
        <f t="shared" si="52"/>
        <v>-44645</v>
      </c>
      <c r="BD68" s="32">
        <f t="shared" si="53"/>
        <v>0.92610963810356073</v>
      </c>
      <c r="BF68" s="3">
        <v>534315</v>
      </c>
      <c r="BH68" s="3">
        <v>604206</v>
      </c>
      <c r="BI68" s="3">
        <v>559561</v>
      </c>
      <c r="BJ68" s="3">
        <f t="shared" si="54"/>
        <v>-44645</v>
      </c>
      <c r="BK68" s="32">
        <f t="shared" si="55"/>
        <v>0.92610963810356073</v>
      </c>
      <c r="BM68" s="3">
        <v>477862</v>
      </c>
      <c r="BO68" s="3">
        <v>604206</v>
      </c>
      <c r="BP68" s="3">
        <v>1040179</v>
      </c>
      <c r="BQ68" s="3">
        <f t="shared" si="56"/>
        <v>435973</v>
      </c>
      <c r="BR68" s="32">
        <f t="shared" si="57"/>
        <v>1.7215635064861985</v>
      </c>
      <c r="BT68" s="3">
        <f>2048112-1457344</f>
        <v>590768</v>
      </c>
      <c r="BV68" s="3">
        <v>604206</v>
      </c>
      <c r="BW68" s="34">
        <v>559561</v>
      </c>
      <c r="BX68" s="3">
        <f t="shared" si="58"/>
        <v>-44645</v>
      </c>
      <c r="BY68" s="32">
        <f t="shared" si="59"/>
        <v>0.92610963810356073</v>
      </c>
      <c r="CA68" s="3">
        <f>1012177-477862</f>
        <v>534315</v>
      </c>
      <c r="CC68" s="3">
        <v>604201</v>
      </c>
      <c r="CD68" s="3">
        <v>559561</v>
      </c>
      <c r="CE68" s="3">
        <f t="shared" si="60"/>
        <v>-44640</v>
      </c>
      <c r="CF68" s="32">
        <f t="shared" si="61"/>
        <v>0.92611730202366427</v>
      </c>
      <c r="CH68" s="3">
        <v>534315</v>
      </c>
      <c r="CJ68" s="3">
        <f t="shared" si="26"/>
        <v>8013336</v>
      </c>
      <c r="CK68" s="3">
        <f t="shared" si="62"/>
        <v>7883743</v>
      </c>
      <c r="CL68" s="3">
        <f t="shared" si="63"/>
        <v>-129593</v>
      </c>
      <c r="CM68" s="32">
        <f t="shared" si="64"/>
        <v>0.98382783400072082</v>
      </c>
      <c r="CO68" s="3">
        <f t="shared" si="65"/>
        <v>7085225</v>
      </c>
      <c r="CQ68" s="3">
        <f t="shared" si="66"/>
        <v>8013336</v>
      </c>
      <c r="CR68" s="3">
        <f t="shared" si="66"/>
        <v>7883743</v>
      </c>
      <c r="CS68" s="3">
        <f t="shared" si="67"/>
        <v>-129593</v>
      </c>
      <c r="CT68" s="32">
        <f t="shared" si="68"/>
        <v>0.98382783400072082</v>
      </c>
      <c r="CV68" s="3">
        <f t="shared" si="69"/>
        <v>7085225</v>
      </c>
      <c r="CX68" s="3">
        <f t="shared" si="32"/>
        <v>1812613</v>
      </c>
      <c r="CY68" s="3">
        <f t="shared" si="33"/>
        <v>1812613</v>
      </c>
      <c r="CZ68" s="3">
        <f t="shared" si="70"/>
        <v>1812613</v>
      </c>
      <c r="DA68" s="3">
        <f t="shared" si="35"/>
        <v>9696356</v>
      </c>
    </row>
    <row r="69" spans="1:105" s="26" customFormat="1" ht="16.5" customHeight="1" x14ac:dyDescent="0.3">
      <c r="A69" s="29"/>
      <c r="B69" s="30" t="s">
        <v>52</v>
      </c>
      <c r="D69" s="3">
        <v>797832</v>
      </c>
      <c r="E69" s="3">
        <v>1018376</v>
      </c>
      <c r="F69" s="3">
        <f t="shared" si="2"/>
        <v>220544</v>
      </c>
      <c r="G69" s="32">
        <f t="shared" si="3"/>
        <v>1.2764291229231217</v>
      </c>
      <c r="I69" s="3">
        <v>865726</v>
      </c>
      <c r="K69" s="33">
        <v>964003</v>
      </c>
      <c r="L69" s="3">
        <f>1094307</f>
        <v>1094307</v>
      </c>
      <c r="M69" s="3">
        <f t="shared" si="40"/>
        <v>130304</v>
      </c>
      <c r="N69" s="32">
        <f t="shared" si="41"/>
        <v>1.1351697038287225</v>
      </c>
      <c r="P69" s="3">
        <v>1045980</v>
      </c>
      <c r="R69" s="3">
        <v>854288</v>
      </c>
      <c r="S69" s="3">
        <v>947414</v>
      </c>
      <c r="T69" s="3">
        <f t="shared" si="42"/>
        <v>93126</v>
      </c>
      <c r="U69" s="32">
        <f t="shared" si="43"/>
        <v>1.1090100762272208</v>
      </c>
      <c r="W69" s="3">
        <v>925865</v>
      </c>
      <c r="Y69" s="3">
        <v>791441</v>
      </c>
      <c r="Z69" s="34">
        <f>2033182-1016591</f>
        <v>1016591</v>
      </c>
      <c r="AA69" s="3">
        <f t="shared" si="44"/>
        <v>225150</v>
      </c>
      <c r="AB69" s="32">
        <f t="shared" si="45"/>
        <v>1.2844810920839329</v>
      </c>
      <c r="AD69" s="3">
        <v>858653</v>
      </c>
      <c r="AF69" s="3">
        <v>911808</v>
      </c>
      <c r="AG69" s="34">
        <v>1208257</v>
      </c>
      <c r="AH69" s="3">
        <f t="shared" si="46"/>
        <v>296449</v>
      </c>
      <c r="AI69" s="32">
        <f t="shared" si="47"/>
        <v>1.3251221748438267</v>
      </c>
      <c r="AK69" s="3">
        <v>989335</v>
      </c>
      <c r="AM69" s="3">
        <v>880918</v>
      </c>
      <c r="AN69" s="3">
        <v>1017093</v>
      </c>
      <c r="AO69" s="3">
        <f t="shared" si="48"/>
        <v>136175</v>
      </c>
      <c r="AP69" s="32">
        <f t="shared" si="49"/>
        <v>1.1545830599442855</v>
      </c>
      <c r="AR69" s="3">
        <v>955664</v>
      </c>
      <c r="AT69" s="3">
        <v>876657</v>
      </c>
      <c r="AU69" s="3">
        <f>2213708-1106854</f>
        <v>1106854</v>
      </c>
      <c r="AV69" s="3">
        <f t="shared" si="50"/>
        <v>230197</v>
      </c>
      <c r="AW69" s="32">
        <f t="shared" si="51"/>
        <v>1.2625850247017933</v>
      </c>
      <c r="AY69" s="3">
        <v>950152</v>
      </c>
      <c r="BA69" s="3">
        <v>887309</v>
      </c>
      <c r="BB69" s="3">
        <v>1075584</v>
      </c>
      <c r="BC69" s="3">
        <f t="shared" si="52"/>
        <v>188275</v>
      </c>
      <c r="BD69" s="32">
        <f t="shared" si="53"/>
        <v>1.2121865099982081</v>
      </c>
      <c r="BF69" s="3">
        <v>962659</v>
      </c>
      <c r="BH69" s="3">
        <v>994894</v>
      </c>
      <c r="BI69" s="3">
        <v>1084237</v>
      </c>
      <c r="BJ69" s="3">
        <f t="shared" si="54"/>
        <v>89343</v>
      </c>
      <c r="BK69" s="32">
        <f t="shared" si="55"/>
        <v>1.0898015265947931</v>
      </c>
      <c r="BM69" s="3">
        <v>877319</v>
      </c>
      <c r="BO69" s="3">
        <v>877722</v>
      </c>
      <c r="BP69" s="3">
        <v>1142358</v>
      </c>
      <c r="BQ69" s="3">
        <f t="shared" si="56"/>
        <v>264636</v>
      </c>
      <c r="BR69" s="32">
        <f t="shared" si="57"/>
        <v>1.3015032094444483</v>
      </c>
      <c r="BT69" s="3">
        <f>3811766-2658393</f>
        <v>1153373</v>
      </c>
      <c r="BV69" s="3">
        <v>879852</v>
      </c>
      <c r="BW69" s="34">
        <v>1096154</v>
      </c>
      <c r="BX69" s="3">
        <f t="shared" si="58"/>
        <v>216302</v>
      </c>
      <c r="BY69" s="32">
        <f t="shared" si="59"/>
        <v>1.2458390729349935</v>
      </c>
      <c r="CA69" s="3">
        <f>1831790-877319</f>
        <v>954471</v>
      </c>
      <c r="CC69" s="3">
        <v>935242</v>
      </c>
      <c r="CD69" s="3">
        <v>1091657</v>
      </c>
      <c r="CE69" s="3">
        <f t="shared" si="60"/>
        <v>156415</v>
      </c>
      <c r="CF69" s="32">
        <f t="shared" si="61"/>
        <v>1.1672454829872909</v>
      </c>
      <c r="CH69" s="3">
        <v>1014796</v>
      </c>
      <c r="CJ69" s="3">
        <f t="shared" si="26"/>
        <v>10651966</v>
      </c>
      <c r="CK69" s="3">
        <f t="shared" si="62"/>
        <v>12898882</v>
      </c>
      <c r="CL69" s="3">
        <f t="shared" si="63"/>
        <v>2246916</v>
      </c>
      <c r="CM69" s="32">
        <f t="shared" si="64"/>
        <v>1.210939088615191</v>
      </c>
      <c r="CO69" s="3">
        <f t="shared" si="65"/>
        <v>11553993</v>
      </c>
      <c r="CQ69" s="3">
        <f t="shared" si="66"/>
        <v>10651966</v>
      </c>
      <c r="CR69" s="3">
        <f t="shared" si="66"/>
        <v>12898882</v>
      </c>
      <c r="CS69" s="3">
        <f t="shared" si="67"/>
        <v>2246916</v>
      </c>
      <c r="CT69" s="32">
        <f t="shared" si="68"/>
        <v>1.210939088615191</v>
      </c>
      <c r="CV69" s="3">
        <f t="shared" si="69"/>
        <v>11553993</v>
      </c>
      <c r="CX69" s="3">
        <f t="shared" si="32"/>
        <v>2692816</v>
      </c>
      <c r="CY69" s="3">
        <f t="shared" si="33"/>
        <v>2692816</v>
      </c>
      <c r="CZ69" s="3">
        <f t="shared" si="70"/>
        <v>2692816</v>
      </c>
      <c r="DA69" s="3">
        <f t="shared" si="35"/>
        <v>15591698</v>
      </c>
    </row>
    <row r="70" spans="1:105" s="26" customFormat="1" ht="16.5" customHeight="1" x14ac:dyDescent="0.3">
      <c r="A70" s="29"/>
      <c r="B70" s="30" t="s">
        <v>53</v>
      </c>
      <c r="D70" s="3"/>
      <c r="E70" s="3">
        <v>3217</v>
      </c>
      <c r="F70" s="3">
        <f t="shared" si="2"/>
        <v>3217</v>
      </c>
      <c r="G70" s="32">
        <f t="shared" si="3"/>
        <v>0</v>
      </c>
      <c r="I70" s="3">
        <v>4577</v>
      </c>
      <c r="K70" s="33"/>
      <c r="L70" s="3">
        <f>3280</f>
        <v>3280</v>
      </c>
      <c r="M70" s="3">
        <f t="shared" si="40"/>
        <v>3280</v>
      </c>
      <c r="N70" s="32">
        <f t="shared" si="41"/>
        <v>0</v>
      </c>
      <c r="P70" s="3">
        <v>6763</v>
      </c>
      <c r="R70" s="3"/>
      <c r="S70" s="3">
        <v>2208</v>
      </c>
      <c r="T70" s="3">
        <f t="shared" si="42"/>
        <v>2208</v>
      </c>
      <c r="U70" s="32">
        <f t="shared" si="43"/>
        <v>0</v>
      </c>
      <c r="W70" s="3">
        <v>5647</v>
      </c>
      <c r="Y70" s="3"/>
      <c r="Z70" s="34">
        <f>3734-1867</f>
        <v>1867</v>
      </c>
      <c r="AA70" s="3">
        <f t="shared" si="44"/>
        <v>1867</v>
      </c>
      <c r="AB70" s="32">
        <f t="shared" si="45"/>
        <v>0</v>
      </c>
      <c r="AD70" s="3">
        <v>9253</v>
      </c>
      <c r="AF70" s="3"/>
      <c r="AG70" s="34">
        <v>1132</v>
      </c>
      <c r="AH70" s="3">
        <f t="shared" si="46"/>
        <v>1132</v>
      </c>
      <c r="AI70" s="32">
        <f t="shared" si="47"/>
        <v>0</v>
      </c>
      <c r="AK70" s="3">
        <v>3477</v>
      </c>
      <c r="AM70" s="3"/>
      <c r="AN70" s="3">
        <v>842</v>
      </c>
      <c r="AO70" s="3">
        <f t="shared" si="48"/>
        <v>842</v>
      </c>
      <c r="AP70" s="32">
        <f t="shared" si="49"/>
        <v>0</v>
      </c>
      <c r="AR70" s="3">
        <v>3355</v>
      </c>
      <c r="AT70" s="3"/>
      <c r="AU70" s="3">
        <f>1856-928</f>
        <v>928</v>
      </c>
      <c r="AV70" s="3">
        <f t="shared" si="50"/>
        <v>928</v>
      </c>
      <c r="AW70" s="32">
        <f t="shared" si="51"/>
        <v>0</v>
      </c>
      <c r="AY70" s="3">
        <v>2278</v>
      </c>
      <c r="BA70" s="3"/>
      <c r="BB70" s="3">
        <v>638</v>
      </c>
      <c r="BC70" s="3">
        <f t="shared" si="52"/>
        <v>638</v>
      </c>
      <c r="BD70" s="32">
        <f t="shared" si="53"/>
        <v>0</v>
      </c>
      <c r="BF70" s="3">
        <v>2760</v>
      </c>
      <c r="BH70" s="3"/>
      <c r="BI70" s="3">
        <f>346-10</f>
        <v>336</v>
      </c>
      <c r="BJ70" s="3">
        <f t="shared" si="54"/>
        <v>336</v>
      </c>
      <c r="BK70" s="32">
        <f t="shared" si="55"/>
        <v>0</v>
      </c>
      <c r="BM70" s="3"/>
      <c r="BO70" s="3"/>
      <c r="BP70" s="3">
        <v>832</v>
      </c>
      <c r="BQ70" s="3">
        <f t="shared" si="56"/>
        <v>832</v>
      </c>
      <c r="BR70" s="32">
        <f t="shared" si="57"/>
        <v>0</v>
      </c>
      <c r="BT70" s="3">
        <f>6214-2591</f>
        <v>3623</v>
      </c>
      <c r="BV70" s="3">
        <v>0</v>
      </c>
      <c r="BW70" s="34">
        <v>2149</v>
      </c>
      <c r="BX70" s="3">
        <f t="shared" si="58"/>
        <v>2149</v>
      </c>
      <c r="BY70" s="32">
        <f t="shared" si="59"/>
        <v>0</v>
      </c>
      <c r="CA70" s="3">
        <v>2825</v>
      </c>
      <c r="CC70" s="3"/>
      <c r="CD70" s="3">
        <v>952</v>
      </c>
      <c r="CE70" s="3">
        <f t="shared" si="60"/>
        <v>952</v>
      </c>
      <c r="CF70" s="32">
        <f t="shared" si="61"/>
        <v>0</v>
      </c>
      <c r="CH70" s="3">
        <v>2053</v>
      </c>
      <c r="CJ70" s="3">
        <f t="shared" si="26"/>
        <v>0</v>
      </c>
      <c r="CK70" s="3">
        <f t="shared" si="62"/>
        <v>18381</v>
      </c>
      <c r="CL70" s="3">
        <f t="shared" si="63"/>
        <v>18381</v>
      </c>
      <c r="CM70" s="32">
        <f t="shared" si="64"/>
        <v>0</v>
      </c>
      <c r="CO70" s="3">
        <f t="shared" si="65"/>
        <v>46611</v>
      </c>
      <c r="CQ70" s="3">
        <f t="shared" si="66"/>
        <v>0</v>
      </c>
      <c r="CR70" s="3">
        <f t="shared" si="66"/>
        <v>18381</v>
      </c>
      <c r="CS70" s="3">
        <f t="shared" si="67"/>
        <v>18381</v>
      </c>
      <c r="CT70" s="32">
        <f t="shared" si="68"/>
        <v>0</v>
      </c>
      <c r="CV70" s="3">
        <f t="shared" si="69"/>
        <v>46611</v>
      </c>
      <c r="CX70" s="3">
        <f t="shared" si="32"/>
        <v>0</v>
      </c>
      <c r="CY70" s="3">
        <f t="shared" si="33"/>
        <v>0</v>
      </c>
      <c r="CZ70" s="3">
        <f t="shared" si="70"/>
        <v>0</v>
      </c>
      <c r="DA70" s="3">
        <f t="shared" si="35"/>
        <v>18381</v>
      </c>
    </row>
    <row r="71" spans="1:105" s="26" customFormat="1" ht="16.5" customHeight="1" x14ac:dyDescent="0.3">
      <c r="A71" s="29"/>
      <c r="B71" s="30" t="s">
        <v>54</v>
      </c>
      <c r="D71" s="3">
        <v>239894</v>
      </c>
      <c r="E71" s="3">
        <v>334850</v>
      </c>
      <c r="F71" s="3">
        <f t="shared" si="2"/>
        <v>94956</v>
      </c>
      <c r="G71" s="32">
        <f t="shared" si="3"/>
        <v>1.395824822629995</v>
      </c>
      <c r="I71" s="3">
        <v>293482</v>
      </c>
      <c r="K71" s="33">
        <v>251761</v>
      </c>
      <c r="L71" s="7">
        <v>452288</v>
      </c>
      <c r="M71" s="3">
        <f t="shared" si="40"/>
        <v>200527</v>
      </c>
      <c r="N71" s="32">
        <f t="shared" si="41"/>
        <v>1.7964974718085804</v>
      </c>
      <c r="P71" s="3">
        <v>307958</v>
      </c>
      <c r="R71" s="3">
        <v>227179</v>
      </c>
      <c r="S71" s="3">
        <f>714235-351656</f>
        <v>362579</v>
      </c>
      <c r="T71" s="3">
        <f t="shared" si="42"/>
        <v>135400</v>
      </c>
      <c r="U71" s="32">
        <f t="shared" si="43"/>
        <v>1.5960057927889462</v>
      </c>
      <c r="W71" s="3">
        <v>277864</v>
      </c>
      <c r="Y71" s="3">
        <v>200335</v>
      </c>
      <c r="Z71" s="34">
        <f>767200-383600</f>
        <v>383600</v>
      </c>
      <c r="AA71" s="3">
        <f t="shared" si="44"/>
        <v>183265</v>
      </c>
      <c r="AB71" s="32">
        <f t="shared" si="45"/>
        <v>1.9147927221903311</v>
      </c>
      <c r="AD71" s="3">
        <v>245022</v>
      </c>
      <c r="AF71" s="3">
        <v>196945</v>
      </c>
      <c r="AG71" s="34">
        <f>597053-293961</f>
        <v>303092</v>
      </c>
      <c r="AH71" s="3">
        <f t="shared" si="46"/>
        <v>106147</v>
      </c>
      <c r="AI71" s="32">
        <f t="shared" si="47"/>
        <v>1.5389677321079489</v>
      </c>
      <c r="AK71" s="3">
        <v>240840</v>
      </c>
      <c r="AM71" s="3">
        <v>194119</v>
      </c>
      <c r="AN71" s="3">
        <f>773280-438663</f>
        <v>334617</v>
      </c>
      <c r="AO71" s="3">
        <f t="shared" si="48"/>
        <v>140498</v>
      </c>
      <c r="AP71" s="32">
        <f t="shared" si="49"/>
        <v>1.7237725312823577</v>
      </c>
      <c r="AR71" s="3">
        <v>237595</v>
      </c>
      <c r="AT71" s="3">
        <v>194402</v>
      </c>
      <c r="AU71" s="3">
        <f>684178-342089</f>
        <v>342089</v>
      </c>
      <c r="AV71" s="3">
        <f t="shared" si="50"/>
        <v>147687</v>
      </c>
      <c r="AW71" s="32">
        <f t="shared" si="51"/>
        <v>1.7596989742903879</v>
      </c>
      <c r="AY71" s="3">
        <v>237641</v>
      </c>
      <c r="BA71" s="3">
        <v>297819</v>
      </c>
      <c r="BB71" s="3">
        <v>372850</v>
      </c>
      <c r="BC71" s="3">
        <f t="shared" si="52"/>
        <v>75031</v>
      </c>
      <c r="BD71" s="32">
        <f t="shared" si="53"/>
        <v>1.2519349000567459</v>
      </c>
      <c r="BF71" s="3">
        <v>364257</v>
      </c>
      <c r="BH71" s="3">
        <v>286516</v>
      </c>
      <c r="BI71" s="3">
        <v>316197</v>
      </c>
      <c r="BJ71" s="3">
        <f t="shared" si="54"/>
        <v>29681</v>
      </c>
      <c r="BK71" s="32">
        <f t="shared" si="55"/>
        <v>1.1035928185511454</v>
      </c>
      <c r="BM71" s="3">
        <v>211723</v>
      </c>
      <c r="BO71" s="3">
        <v>218702</v>
      </c>
      <c r="BP71" s="3">
        <v>474578</v>
      </c>
      <c r="BQ71" s="3">
        <f t="shared" si="56"/>
        <v>255876</v>
      </c>
      <c r="BR71" s="32">
        <f t="shared" si="57"/>
        <v>2.169975583213688</v>
      </c>
      <c r="BT71" s="3">
        <f>1171719-765414</f>
        <v>406305</v>
      </c>
      <c r="BV71" s="3">
        <v>244697</v>
      </c>
      <c r="BW71" s="34">
        <v>372926</v>
      </c>
      <c r="BX71" s="3">
        <f t="shared" si="58"/>
        <v>128229</v>
      </c>
      <c r="BY71" s="32">
        <f t="shared" si="59"/>
        <v>1.5240317617298127</v>
      </c>
      <c r="CA71" s="3">
        <f>511103-211723</f>
        <v>299380</v>
      </c>
      <c r="CC71" s="3">
        <v>273237</v>
      </c>
      <c r="CD71" s="3">
        <v>393714</v>
      </c>
      <c r="CE71" s="3">
        <f t="shared" si="60"/>
        <v>120477</v>
      </c>
      <c r="CF71" s="32">
        <f t="shared" si="61"/>
        <v>1.4409249113407043</v>
      </c>
      <c r="CH71" s="3">
        <v>334337</v>
      </c>
      <c r="CJ71" s="3">
        <f t="shared" si="26"/>
        <v>2825606</v>
      </c>
      <c r="CK71" s="3">
        <f t="shared" si="62"/>
        <v>4443380</v>
      </c>
      <c r="CL71" s="3">
        <f t="shared" si="63"/>
        <v>1617774</v>
      </c>
      <c r="CM71" s="32">
        <f t="shared" si="64"/>
        <v>1.5725405452847991</v>
      </c>
      <c r="CO71" s="3">
        <f t="shared" si="65"/>
        <v>3456404</v>
      </c>
      <c r="CQ71" s="3">
        <f t="shared" si="66"/>
        <v>2825606</v>
      </c>
      <c r="CR71" s="3">
        <f t="shared" si="66"/>
        <v>4443380</v>
      </c>
      <c r="CS71" s="3">
        <f t="shared" si="67"/>
        <v>1617774</v>
      </c>
      <c r="CT71" s="32">
        <f t="shared" si="68"/>
        <v>1.5725405452847991</v>
      </c>
      <c r="CV71" s="3">
        <f t="shared" si="69"/>
        <v>3456404</v>
      </c>
      <c r="CX71" s="3">
        <f t="shared" si="32"/>
        <v>736636</v>
      </c>
      <c r="CY71" s="3">
        <f t="shared" si="33"/>
        <v>736636</v>
      </c>
      <c r="CZ71" s="3">
        <f t="shared" si="70"/>
        <v>736636</v>
      </c>
      <c r="DA71" s="3">
        <f t="shared" si="35"/>
        <v>5180016</v>
      </c>
    </row>
    <row r="72" spans="1:105" s="26" customFormat="1" ht="16.5" customHeight="1" x14ac:dyDescent="0.3">
      <c r="A72" s="29"/>
      <c r="B72" s="30" t="s">
        <v>55</v>
      </c>
      <c r="D72" s="3">
        <v>38288</v>
      </c>
      <c r="E72" s="3">
        <v>28581</v>
      </c>
      <c r="F72" s="3">
        <f t="shared" si="2"/>
        <v>-9707</v>
      </c>
      <c r="G72" s="32">
        <f t="shared" si="3"/>
        <v>0.74647409109903884</v>
      </c>
      <c r="I72" s="3">
        <v>43245</v>
      </c>
      <c r="K72" s="33">
        <v>63605</v>
      </c>
      <c r="L72" s="3">
        <v>52515</v>
      </c>
      <c r="M72" s="3">
        <f t="shared" si="40"/>
        <v>-11090</v>
      </c>
      <c r="N72" s="32">
        <f t="shared" si="41"/>
        <v>0.8256426381573776</v>
      </c>
      <c r="P72" s="3">
        <v>71808</v>
      </c>
      <c r="R72" s="3">
        <v>24282</v>
      </c>
      <c r="S72" s="3">
        <v>19847</v>
      </c>
      <c r="T72" s="3">
        <f t="shared" si="42"/>
        <v>-4435</v>
      </c>
      <c r="U72" s="32">
        <f t="shared" si="43"/>
        <v>0.81735441891112759</v>
      </c>
      <c r="W72" s="3">
        <v>27427</v>
      </c>
      <c r="Y72" s="3">
        <v>27307</v>
      </c>
      <c r="Z72" s="34">
        <f>43508-21754</f>
        <v>21754</v>
      </c>
      <c r="AA72" s="3">
        <f t="shared" si="44"/>
        <v>-5553</v>
      </c>
      <c r="AB72" s="32">
        <f t="shared" si="45"/>
        <v>0.79664554876039106</v>
      </c>
      <c r="AD72" s="3">
        <v>30847</v>
      </c>
      <c r="AF72" s="3">
        <v>25608</v>
      </c>
      <c r="AG72" s="34">
        <v>21919</v>
      </c>
      <c r="AH72" s="3">
        <f t="shared" si="46"/>
        <v>-3689</v>
      </c>
      <c r="AI72" s="32">
        <f t="shared" si="47"/>
        <v>0.85594345517025927</v>
      </c>
      <c r="AK72" s="3">
        <v>28941</v>
      </c>
      <c r="AM72" s="3">
        <v>25152</v>
      </c>
      <c r="AN72" s="3">
        <v>22168</v>
      </c>
      <c r="AO72" s="3">
        <f t="shared" si="48"/>
        <v>-2984</v>
      </c>
      <c r="AP72" s="32">
        <f t="shared" si="49"/>
        <v>0.88136132315521631</v>
      </c>
      <c r="AR72" s="3">
        <v>28399</v>
      </c>
      <c r="AT72" s="3">
        <v>43426</v>
      </c>
      <c r="AU72" s="3">
        <f>46462-23231</f>
        <v>23231</v>
      </c>
      <c r="AV72" s="3">
        <f t="shared" si="50"/>
        <v>-20195</v>
      </c>
      <c r="AW72" s="32">
        <f t="shared" si="51"/>
        <v>0.53495601713259333</v>
      </c>
      <c r="AY72" s="3">
        <v>49058</v>
      </c>
      <c r="BA72" s="3">
        <v>39158</v>
      </c>
      <c r="BB72" s="3">
        <v>29600</v>
      </c>
      <c r="BC72" s="3">
        <f t="shared" si="52"/>
        <v>-9558</v>
      </c>
      <c r="BD72" s="32">
        <f t="shared" si="53"/>
        <v>0.75591194647326221</v>
      </c>
      <c r="BF72" s="3">
        <v>44207</v>
      </c>
      <c r="BH72" s="3">
        <v>27638</v>
      </c>
      <c r="BI72" s="3">
        <v>25274</v>
      </c>
      <c r="BJ72" s="3">
        <f t="shared" si="54"/>
        <v>-2364</v>
      </c>
      <c r="BK72" s="32">
        <f t="shared" si="55"/>
        <v>0.91446559085317314</v>
      </c>
      <c r="BM72" s="3">
        <v>13926</v>
      </c>
      <c r="BO72" s="3">
        <v>28881</v>
      </c>
      <c r="BP72" s="3">
        <v>27860</v>
      </c>
      <c r="BQ72" s="3">
        <f t="shared" si="56"/>
        <v>-1021</v>
      </c>
      <c r="BR72" s="32">
        <f t="shared" si="57"/>
        <v>0.96464803850282188</v>
      </c>
      <c r="BT72" s="3">
        <f>119252-69354</f>
        <v>49898</v>
      </c>
      <c r="BV72" s="3">
        <v>33812</v>
      </c>
      <c r="BW72" s="34">
        <v>27409</v>
      </c>
      <c r="BX72" s="3">
        <f t="shared" si="58"/>
        <v>-6403</v>
      </c>
      <c r="BY72" s="32">
        <f t="shared" si="59"/>
        <v>0.8106293623565598</v>
      </c>
      <c r="CA72" s="3">
        <f>52085-13926</f>
        <v>38159</v>
      </c>
      <c r="CC72" s="3">
        <v>37211</v>
      </c>
      <c r="CD72" s="3">
        <v>27368</v>
      </c>
      <c r="CE72" s="3">
        <f t="shared" si="60"/>
        <v>-9843</v>
      </c>
      <c r="CF72" s="32">
        <f t="shared" si="61"/>
        <v>0.73548144365913304</v>
      </c>
      <c r="CH72" s="3">
        <v>42000</v>
      </c>
      <c r="CJ72" s="3">
        <f t="shared" si="26"/>
        <v>414368</v>
      </c>
      <c r="CK72" s="3">
        <f t="shared" si="62"/>
        <v>327526</v>
      </c>
      <c r="CL72" s="3">
        <f t="shared" si="63"/>
        <v>-86842</v>
      </c>
      <c r="CM72" s="32">
        <f t="shared" si="64"/>
        <v>0.79042300563750101</v>
      </c>
      <c r="CO72" s="3">
        <f t="shared" si="65"/>
        <v>467915</v>
      </c>
      <c r="CQ72" s="3">
        <f t="shared" si="66"/>
        <v>414368</v>
      </c>
      <c r="CR72" s="3">
        <f t="shared" si="66"/>
        <v>327526</v>
      </c>
      <c r="CS72" s="3">
        <f t="shared" si="67"/>
        <v>-86842</v>
      </c>
      <c r="CT72" s="32">
        <f t="shared" si="68"/>
        <v>0.79042300563750101</v>
      </c>
      <c r="CV72" s="3">
        <f t="shared" si="69"/>
        <v>467915</v>
      </c>
      <c r="CX72" s="3">
        <f t="shared" si="32"/>
        <v>99904</v>
      </c>
      <c r="CY72" s="3">
        <f t="shared" si="33"/>
        <v>99904</v>
      </c>
      <c r="CZ72" s="3">
        <f t="shared" si="70"/>
        <v>99904</v>
      </c>
      <c r="DA72" s="3">
        <f t="shared" si="35"/>
        <v>427430</v>
      </c>
    </row>
    <row r="73" spans="1:105" s="26" customFormat="1" ht="16.5" customHeight="1" x14ac:dyDescent="0.3">
      <c r="A73" s="29"/>
      <c r="B73" s="30" t="s">
        <v>56</v>
      </c>
      <c r="D73" s="3"/>
      <c r="E73" s="3"/>
      <c r="F73" s="3">
        <f t="shared" si="2"/>
        <v>0</v>
      </c>
      <c r="G73" s="32">
        <f t="shared" si="3"/>
        <v>0</v>
      </c>
      <c r="I73" s="3">
        <v>0</v>
      </c>
      <c r="K73" s="33"/>
      <c r="L73" s="3"/>
      <c r="M73" s="3">
        <f t="shared" si="40"/>
        <v>0</v>
      </c>
      <c r="N73" s="32">
        <f t="shared" si="41"/>
        <v>0</v>
      </c>
      <c r="P73" s="3">
        <v>0</v>
      </c>
      <c r="R73" s="3"/>
      <c r="S73" s="3"/>
      <c r="T73" s="3">
        <f t="shared" si="42"/>
        <v>0</v>
      </c>
      <c r="U73" s="32">
        <f t="shared" si="43"/>
        <v>0</v>
      </c>
      <c r="W73" s="3">
        <v>0</v>
      </c>
      <c r="Y73" s="3"/>
      <c r="Z73" s="34"/>
      <c r="AA73" s="3">
        <f t="shared" si="44"/>
        <v>0</v>
      </c>
      <c r="AB73" s="32">
        <f t="shared" si="45"/>
        <v>0</v>
      </c>
      <c r="AD73" s="3">
        <v>0</v>
      </c>
      <c r="AF73" s="3"/>
      <c r="AG73" s="34"/>
      <c r="AH73" s="3">
        <f t="shared" si="46"/>
        <v>0</v>
      </c>
      <c r="AI73" s="32">
        <f t="shared" si="47"/>
        <v>0</v>
      </c>
      <c r="AK73" s="3">
        <v>0</v>
      </c>
      <c r="AM73" s="3"/>
      <c r="AN73" s="3"/>
      <c r="AO73" s="3">
        <f t="shared" si="48"/>
        <v>0</v>
      </c>
      <c r="AP73" s="32">
        <f t="shared" si="49"/>
        <v>0</v>
      </c>
      <c r="AR73" s="3">
        <v>0</v>
      </c>
      <c r="AT73" s="3">
        <v>0</v>
      </c>
      <c r="AU73" s="3"/>
      <c r="AV73" s="3">
        <f t="shared" si="50"/>
        <v>0</v>
      </c>
      <c r="AW73" s="32">
        <f t="shared" si="51"/>
        <v>0</v>
      </c>
      <c r="AY73" s="3"/>
      <c r="BA73" s="3">
        <v>0</v>
      </c>
      <c r="BB73" s="3">
        <v>0</v>
      </c>
      <c r="BC73" s="3">
        <f t="shared" si="52"/>
        <v>0</v>
      </c>
      <c r="BD73" s="32">
        <f t="shared" si="53"/>
        <v>0</v>
      </c>
      <c r="BF73" s="3"/>
      <c r="BH73" s="3">
        <v>0</v>
      </c>
      <c r="BI73" s="3"/>
      <c r="BJ73" s="3">
        <f t="shared" si="54"/>
        <v>0</v>
      </c>
      <c r="BK73" s="32">
        <f t="shared" si="55"/>
        <v>0</v>
      </c>
      <c r="BM73" s="3"/>
      <c r="BO73" s="3">
        <v>0</v>
      </c>
      <c r="BP73" s="3"/>
      <c r="BQ73" s="3">
        <f t="shared" si="56"/>
        <v>0</v>
      </c>
      <c r="BR73" s="32">
        <f t="shared" si="57"/>
        <v>0</v>
      </c>
      <c r="BT73" s="3"/>
      <c r="BV73" s="3">
        <v>0</v>
      </c>
      <c r="BW73" s="34">
        <v>0</v>
      </c>
      <c r="BX73" s="3">
        <f t="shared" si="58"/>
        <v>0</v>
      </c>
      <c r="BY73" s="32">
        <f t="shared" si="59"/>
        <v>0</v>
      </c>
      <c r="CA73" s="3"/>
      <c r="CC73" s="3"/>
      <c r="CD73" s="3"/>
      <c r="CE73" s="3">
        <f t="shared" si="60"/>
        <v>0</v>
      </c>
      <c r="CF73" s="32">
        <f t="shared" si="61"/>
        <v>0</v>
      </c>
      <c r="CH73" s="3"/>
      <c r="CJ73" s="3">
        <f t="shared" si="26"/>
        <v>0</v>
      </c>
      <c r="CK73" s="3">
        <f t="shared" si="62"/>
        <v>0</v>
      </c>
      <c r="CL73" s="3">
        <f t="shared" si="63"/>
        <v>0</v>
      </c>
      <c r="CM73" s="32">
        <f t="shared" si="64"/>
        <v>0</v>
      </c>
      <c r="CO73" s="3">
        <f>+I73+P73+W73+AD73+AK73+AR73</f>
        <v>0</v>
      </c>
      <c r="CQ73" s="3">
        <f t="shared" si="66"/>
        <v>0</v>
      </c>
      <c r="CR73" s="3">
        <f t="shared" si="66"/>
        <v>0</v>
      </c>
      <c r="CS73" s="3">
        <f t="shared" si="67"/>
        <v>0</v>
      </c>
      <c r="CT73" s="32">
        <f t="shared" si="68"/>
        <v>0</v>
      </c>
      <c r="CV73" s="3">
        <f t="shared" si="69"/>
        <v>0</v>
      </c>
      <c r="CX73" s="3">
        <f t="shared" si="32"/>
        <v>0</v>
      </c>
      <c r="CY73" s="3">
        <f t="shared" si="33"/>
        <v>0</v>
      </c>
      <c r="CZ73" s="3">
        <f t="shared" si="70"/>
        <v>0</v>
      </c>
      <c r="DA73" s="3">
        <f t="shared" si="35"/>
        <v>0</v>
      </c>
    </row>
    <row r="74" spans="1:105" s="31" customFormat="1" ht="16.5" customHeight="1" x14ac:dyDescent="0.3">
      <c r="A74" s="29"/>
      <c r="B74" s="30" t="s">
        <v>57</v>
      </c>
      <c r="D74" s="3"/>
      <c r="E74" s="3"/>
      <c r="F74" s="3">
        <f t="shared" si="2"/>
        <v>0</v>
      </c>
      <c r="G74" s="32">
        <f t="shared" si="3"/>
        <v>0</v>
      </c>
      <c r="I74" s="3">
        <v>0</v>
      </c>
      <c r="K74" s="33"/>
      <c r="L74" s="7">
        <v>9792078</v>
      </c>
      <c r="M74" s="3">
        <f t="shared" si="40"/>
        <v>9792078</v>
      </c>
      <c r="N74" s="32">
        <f t="shared" si="41"/>
        <v>0</v>
      </c>
      <c r="P74" s="3">
        <v>0</v>
      </c>
      <c r="R74" s="3"/>
      <c r="S74" s="3">
        <v>2202551</v>
      </c>
      <c r="T74" s="3">
        <f t="shared" si="42"/>
        <v>2202551</v>
      </c>
      <c r="U74" s="32">
        <f t="shared" si="43"/>
        <v>0</v>
      </c>
      <c r="W74" s="3">
        <v>0</v>
      </c>
      <c r="Y74" s="3"/>
      <c r="Z74" s="34"/>
      <c r="AA74" s="3">
        <f t="shared" si="44"/>
        <v>0</v>
      </c>
      <c r="AB74" s="32">
        <f t="shared" si="45"/>
        <v>0</v>
      </c>
      <c r="AD74" s="3">
        <v>0</v>
      </c>
      <c r="AF74" s="3"/>
      <c r="AG74" s="34">
        <v>3835838</v>
      </c>
      <c r="AH74" s="3">
        <f t="shared" si="46"/>
        <v>3835838</v>
      </c>
      <c r="AI74" s="32">
        <f t="shared" si="47"/>
        <v>0</v>
      </c>
      <c r="AK74" s="3">
        <v>6341873</v>
      </c>
      <c r="AM74" s="3"/>
      <c r="AN74" s="3">
        <v>2077011</v>
      </c>
      <c r="AO74" s="3">
        <f t="shared" si="48"/>
        <v>2077011</v>
      </c>
      <c r="AP74" s="32">
        <f t="shared" si="49"/>
        <v>0</v>
      </c>
      <c r="AR74" s="3">
        <v>0</v>
      </c>
      <c r="AT74" s="3">
        <v>0</v>
      </c>
      <c r="AU74" s="3">
        <v>2643222</v>
      </c>
      <c r="AV74" s="3">
        <f t="shared" si="50"/>
        <v>2643222</v>
      </c>
      <c r="AW74" s="32">
        <f t="shared" si="51"/>
        <v>0</v>
      </c>
      <c r="AY74" s="3">
        <v>3850252</v>
      </c>
      <c r="BA74" s="3">
        <v>0</v>
      </c>
      <c r="BB74" s="3">
        <v>3684055</v>
      </c>
      <c r="BC74" s="3">
        <f t="shared" si="52"/>
        <v>3684055</v>
      </c>
      <c r="BD74" s="32">
        <f t="shared" si="53"/>
        <v>0</v>
      </c>
      <c r="BF74" s="3">
        <v>2635070</v>
      </c>
      <c r="BH74" s="3">
        <v>0</v>
      </c>
      <c r="BI74" s="3">
        <v>1207858</v>
      </c>
      <c r="BJ74" s="3">
        <f t="shared" si="54"/>
        <v>1207858</v>
      </c>
      <c r="BK74" s="32">
        <f t="shared" si="55"/>
        <v>0</v>
      </c>
      <c r="BM74" s="3"/>
      <c r="BO74" s="3">
        <v>0</v>
      </c>
      <c r="BP74" s="3">
        <f>3500000-2000000</f>
        <v>1500000</v>
      </c>
      <c r="BQ74" s="3">
        <f t="shared" si="56"/>
        <v>1500000</v>
      </c>
      <c r="BR74" s="32">
        <f t="shared" si="57"/>
        <v>0</v>
      </c>
      <c r="BT74" s="3">
        <f>10226413-6318040</f>
        <v>3908373</v>
      </c>
      <c r="BV74" s="3">
        <v>0</v>
      </c>
      <c r="BW74" s="34">
        <v>3369883</v>
      </c>
      <c r="BX74" s="3">
        <f t="shared" si="58"/>
        <v>3369883</v>
      </c>
      <c r="BY74" s="32">
        <f t="shared" si="59"/>
        <v>0</v>
      </c>
      <c r="CA74" s="3">
        <v>5677217</v>
      </c>
      <c r="CC74" s="3">
        <v>0</v>
      </c>
      <c r="CD74" s="3">
        <v>2393547</v>
      </c>
      <c r="CE74" s="3">
        <f t="shared" si="60"/>
        <v>2393547</v>
      </c>
      <c r="CF74" s="32">
        <f t="shared" si="61"/>
        <v>0</v>
      </c>
      <c r="CH74" s="3">
        <v>2132546</v>
      </c>
      <c r="CJ74" s="3">
        <f t="shared" si="26"/>
        <v>0</v>
      </c>
      <c r="CK74" s="3">
        <f t="shared" si="62"/>
        <v>32706043</v>
      </c>
      <c r="CL74" s="3">
        <f t="shared" si="63"/>
        <v>32706043</v>
      </c>
      <c r="CM74" s="32">
        <f t="shared" si="64"/>
        <v>0</v>
      </c>
      <c r="CO74" s="3">
        <f t="shared" ref="CO74:CO81" si="71">CH74+CA74+BT74+BM74+BF74+AY74+AR74+AK74+AD74+W74+P74+I74</f>
        <v>24545331</v>
      </c>
      <c r="CQ74" s="3">
        <f t="shared" si="66"/>
        <v>0</v>
      </c>
      <c r="CR74" s="3">
        <f t="shared" si="66"/>
        <v>32706043</v>
      </c>
      <c r="CS74" s="3">
        <f t="shared" si="67"/>
        <v>32706043</v>
      </c>
      <c r="CT74" s="32">
        <f t="shared" si="68"/>
        <v>0</v>
      </c>
      <c r="CV74" s="3">
        <f t="shared" si="69"/>
        <v>24545331</v>
      </c>
      <c r="CX74" s="3">
        <f t="shared" si="32"/>
        <v>0</v>
      </c>
      <c r="CY74" s="3">
        <f t="shared" si="33"/>
        <v>0</v>
      </c>
      <c r="CZ74" s="3">
        <f t="shared" si="70"/>
        <v>0</v>
      </c>
      <c r="DA74" s="3">
        <f t="shared" si="35"/>
        <v>32706043</v>
      </c>
    </row>
    <row r="75" spans="1:105" s="31" customFormat="1" ht="16.5" customHeight="1" x14ac:dyDescent="0.3">
      <c r="A75" s="38"/>
      <c r="B75" s="39" t="s">
        <v>58</v>
      </c>
      <c r="D75" s="10">
        <f>SUM(D64)</f>
        <v>17936468</v>
      </c>
      <c r="E75" s="10">
        <f>SUM(E64)</f>
        <v>15890471</v>
      </c>
      <c r="F75" s="10">
        <f t="shared" si="2"/>
        <v>-2045997</v>
      </c>
      <c r="G75" s="40">
        <f t="shared" si="3"/>
        <v>0.88593088672753184</v>
      </c>
      <c r="I75" s="10">
        <f>SUM(I65:I74)</f>
        <v>16861438</v>
      </c>
      <c r="K75" s="6">
        <f>K64</f>
        <v>20558990</v>
      </c>
      <c r="L75" s="6">
        <f>L64</f>
        <v>28772785</v>
      </c>
      <c r="M75" s="10">
        <f t="shared" si="40"/>
        <v>8213795</v>
      </c>
      <c r="N75" s="40">
        <f t="shared" si="41"/>
        <v>1.399523274246449</v>
      </c>
      <c r="P75" s="10">
        <f>SUM(P65:P74)</f>
        <v>19343346</v>
      </c>
      <c r="R75" s="10">
        <f>R64</f>
        <v>16156265</v>
      </c>
      <c r="S75" s="10">
        <f>S64</f>
        <v>18559577</v>
      </c>
      <c r="T75" s="10">
        <f t="shared" si="42"/>
        <v>2403312</v>
      </c>
      <c r="U75" s="40">
        <f t="shared" si="43"/>
        <v>1.1487541829748398</v>
      </c>
      <c r="W75" s="10">
        <f>SUM(W65:W74)</f>
        <v>15206305</v>
      </c>
      <c r="Y75" s="10">
        <f>Y64</f>
        <v>20864171</v>
      </c>
      <c r="Z75" s="10">
        <f>Z64</f>
        <v>25663506</v>
      </c>
      <c r="AA75" s="10">
        <f t="shared" si="44"/>
        <v>4799335</v>
      </c>
      <c r="AB75" s="40">
        <f t="shared" si="45"/>
        <v>1.2300275913191088</v>
      </c>
      <c r="AD75" s="10">
        <f>SUM(AD65:AD74)</f>
        <v>19547146</v>
      </c>
      <c r="AF75" s="10">
        <f>AF64</f>
        <v>18046617</v>
      </c>
      <c r="AG75" s="10">
        <f>AG64</f>
        <v>23580224</v>
      </c>
      <c r="AH75" s="10">
        <f t="shared" si="46"/>
        <v>5533607</v>
      </c>
      <c r="AI75" s="40">
        <f t="shared" si="47"/>
        <v>1.3066284944153246</v>
      </c>
      <c r="AK75" s="10">
        <f>SUM(AK65:AK74)</f>
        <v>23313231</v>
      </c>
      <c r="AM75" s="10">
        <f>SUM(AM64)</f>
        <v>15875867</v>
      </c>
      <c r="AN75" s="10">
        <f>AN64</f>
        <v>23074699</v>
      </c>
      <c r="AO75" s="10">
        <f t="shared" si="48"/>
        <v>7198832</v>
      </c>
      <c r="AP75" s="40">
        <f t="shared" si="49"/>
        <v>1.4534449677614458</v>
      </c>
      <c r="AR75" s="10">
        <f>SUM(AR65:AR74)</f>
        <v>14945915</v>
      </c>
      <c r="AT75" s="10">
        <f>SUM(AT65:AT74)</f>
        <v>17169806</v>
      </c>
      <c r="AU75" s="10">
        <f>AU64</f>
        <v>22176852</v>
      </c>
      <c r="AV75" s="10">
        <f t="shared" si="50"/>
        <v>5007046</v>
      </c>
      <c r="AW75" s="40">
        <f t="shared" si="51"/>
        <v>1.291619253007285</v>
      </c>
      <c r="AY75" s="10">
        <f>SUM(AY65:AY74)</f>
        <v>20002387</v>
      </c>
      <c r="BA75" s="10">
        <f>SUM(BA65:BA74)</f>
        <v>17517614</v>
      </c>
      <c r="BB75" s="10">
        <f>SUM(BB65:BB74)</f>
        <v>23637140</v>
      </c>
      <c r="BC75" s="10">
        <f t="shared" si="52"/>
        <v>6119526</v>
      </c>
      <c r="BD75" s="40">
        <f t="shared" si="53"/>
        <v>1.3493355887394254</v>
      </c>
      <c r="BF75" s="10">
        <f>SUM(BF65:BF74)</f>
        <v>19137519</v>
      </c>
      <c r="BH75" s="10">
        <f>SUM(BH65:BH74)</f>
        <v>17706405</v>
      </c>
      <c r="BI75" s="10">
        <f>SUM(BI65:BI74)</f>
        <v>18624739</v>
      </c>
      <c r="BJ75" s="10">
        <f t="shared" si="54"/>
        <v>918334</v>
      </c>
      <c r="BK75" s="40">
        <f t="shared" si="55"/>
        <v>1.0518645089164063</v>
      </c>
      <c r="BM75" s="10">
        <f>SUM(BM65:BM74)</f>
        <v>16284498</v>
      </c>
      <c r="BO75" s="10">
        <f>SUM(BO65:BO74)</f>
        <v>16107352</v>
      </c>
      <c r="BP75" s="10">
        <f>SUM(BP65:BP74)</f>
        <v>18400055</v>
      </c>
      <c r="BQ75" s="10">
        <f t="shared" si="56"/>
        <v>2292703</v>
      </c>
      <c r="BR75" s="40">
        <f t="shared" si="57"/>
        <v>1.142338914552808</v>
      </c>
      <c r="BT75" s="10">
        <f>SUM(BT65:BT74)</f>
        <v>19477311</v>
      </c>
      <c r="BV75" s="10">
        <f>SUM(BV65:BV74)</f>
        <v>16336437</v>
      </c>
      <c r="BW75" s="41">
        <f>SUM(BW65:BW74)</f>
        <v>20790235</v>
      </c>
      <c r="BX75" s="10">
        <f t="shared" si="58"/>
        <v>4453798</v>
      </c>
      <c r="BY75" s="40">
        <f t="shared" si="59"/>
        <v>1.2726297049962607</v>
      </c>
      <c r="CA75" s="10">
        <f>SUM(CA65:CA74)</f>
        <v>21064413</v>
      </c>
      <c r="CC75" s="10">
        <f>SUM(CC65:CC74)</f>
        <v>16569165</v>
      </c>
      <c r="CD75" s="10">
        <f>SUM(CD65:CD74)</f>
        <v>20597380</v>
      </c>
      <c r="CE75" s="10">
        <f t="shared" si="60"/>
        <v>4028215</v>
      </c>
      <c r="CF75" s="40">
        <f t="shared" si="61"/>
        <v>1.2431151479268872</v>
      </c>
      <c r="CH75" s="10">
        <f>SUM(CH65:CH74)</f>
        <v>17757468</v>
      </c>
      <c r="CJ75" s="10">
        <f t="shared" si="26"/>
        <v>210845157</v>
      </c>
      <c r="CK75" s="10">
        <f>SUM(CK65:CK74)</f>
        <v>259767663</v>
      </c>
      <c r="CL75" s="10">
        <f t="shared" si="63"/>
        <v>48922506</v>
      </c>
      <c r="CM75" s="40">
        <f t="shared" si="64"/>
        <v>1.2320304943025084</v>
      </c>
      <c r="CO75" s="10">
        <f t="shared" si="71"/>
        <v>222940977</v>
      </c>
      <c r="CQ75" s="10">
        <f t="shared" si="66"/>
        <v>210845157</v>
      </c>
      <c r="CR75" s="10">
        <f t="shared" si="66"/>
        <v>259767663</v>
      </c>
      <c r="CS75" s="10">
        <f t="shared" si="67"/>
        <v>48922506</v>
      </c>
      <c r="CT75" s="40">
        <f t="shared" si="68"/>
        <v>1.2320304943025084</v>
      </c>
      <c r="CV75" s="10">
        <f t="shared" si="69"/>
        <v>222940977</v>
      </c>
      <c r="CX75" s="10">
        <f t="shared" si="32"/>
        <v>49012954</v>
      </c>
      <c r="CY75" s="10">
        <f t="shared" si="33"/>
        <v>49012954</v>
      </c>
      <c r="CZ75" s="10">
        <f t="shared" si="70"/>
        <v>49012954</v>
      </c>
      <c r="DA75" s="10">
        <f t="shared" si="35"/>
        <v>308780617</v>
      </c>
    </row>
    <row r="76" spans="1:105" s="26" customFormat="1" ht="16.5" customHeight="1" x14ac:dyDescent="0.3">
      <c r="A76" s="35">
        <v>44</v>
      </c>
      <c r="B76" s="36" t="s">
        <v>59</v>
      </c>
      <c r="D76" s="5">
        <f>SUM(D77:D78)</f>
        <v>7316280</v>
      </c>
      <c r="E76" s="5">
        <f>SUM(E77:E78)</f>
        <v>7316280</v>
      </c>
      <c r="F76" s="5"/>
      <c r="G76" s="37"/>
      <c r="I76" s="5"/>
      <c r="K76" s="5">
        <f>SUM(K77:K78)</f>
        <v>7316280</v>
      </c>
      <c r="L76" s="5">
        <f>SUM(L77:L78)</f>
        <v>7316280</v>
      </c>
      <c r="M76" s="5"/>
      <c r="N76" s="37"/>
      <c r="P76" s="5"/>
      <c r="R76" s="5">
        <f>SUM(R77:R78)</f>
        <v>7316280</v>
      </c>
      <c r="S76" s="5">
        <f>SUM(S77:S78)</f>
        <v>7316280</v>
      </c>
      <c r="T76" s="5"/>
      <c r="U76" s="37"/>
      <c r="W76" s="5"/>
      <c r="Y76" s="5">
        <f>SUM(Y77:Y78)</f>
        <v>7316280</v>
      </c>
      <c r="Z76" s="5">
        <f>SUM(Z77:Z78)</f>
        <v>7316280</v>
      </c>
      <c r="AA76" s="5"/>
      <c r="AB76" s="37"/>
      <c r="AD76" s="5"/>
      <c r="AF76" s="5">
        <f>SUM(AF77:AF78)</f>
        <v>7316280</v>
      </c>
      <c r="AG76" s="5">
        <f>SUM(AG77:AG78)</f>
        <v>7316280</v>
      </c>
      <c r="AH76" s="5"/>
      <c r="AI76" s="37"/>
      <c r="AK76" s="5"/>
      <c r="AM76" s="5">
        <f>SUM(AM77:AM78)</f>
        <v>7316280</v>
      </c>
      <c r="AN76" s="5">
        <f>SUM(AN77:AN78)</f>
        <v>7316280</v>
      </c>
      <c r="AO76" s="5"/>
      <c r="AP76" s="37"/>
      <c r="AR76" s="5"/>
      <c r="AT76" s="5">
        <f>SUM(AT77:AT78)</f>
        <v>7316280</v>
      </c>
      <c r="AU76" s="5">
        <f>SUM(AU77:AU78)</f>
        <v>7316280</v>
      </c>
      <c r="AV76" s="5"/>
      <c r="AW76" s="37"/>
      <c r="AY76" s="5"/>
      <c r="BA76" s="5">
        <f>SUM(BA77:BA78)</f>
        <v>7316280</v>
      </c>
      <c r="BB76" s="5">
        <f>7322472.72
-6192.72</f>
        <v>7316280</v>
      </c>
      <c r="BC76" s="5"/>
      <c r="BD76" s="37"/>
      <c r="BF76" s="5"/>
      <c r="BH76" s="5">
        <f>SUM(BH77:BH78)</f>
        <v>7316280</v>
      </c>
      <c r="BI76" s="5">
        <f>SUM(BI77:BI78)</f>
        <v>7316280</v>
      </c>
      <c r="BJ76" s="5"/>
      <c r="BK76" s="37"/>
      <c r="BM76" s="5"/>
      <c r="BO76" s="5">
        <f>SUM(BO77:BO78)</f>
        <v>7316278</v>
      </c>
      <c r="BP76" s="5">
        <f>SUM(BP77:BP78)</f>
        <v>7316278</v>
      </c>
      <c r="BQ76" s="5"/>
      <c r="BR76" s="37"/>
      <c r="BT76" s="5"/>
      <c r="BV76" s="5">
        <f>SUM(BV77:BV78)</f>
        <v>6654911</v>
      </c>
      <c r="BW76" s="43"/>
      <c r="BX76" s="5"/>
      <c r="BY76" s="37"/>
      <c r="CA76" s="5"/>
      <c r="CC76" s="5">
        <f>SUM(CC77:CC78)</f>
        <v>6772918</v>
      </c>
      <c r="CD76" s="5"/>
      <c r="CE76" s="5"/>
      <c r="CF76" s="37"/>
      <c r="CH76" s="5"/>
      <c r="CJ76" s="5">
        <f t="shared" si="26"/>
        <v>86590627</v>
      </c>
      <c r="CK76" s="5">
        <f>SUM(CK77:CK78)</f>
        <v>86472614</v>
      </c>
      <c r="CL76" s="5"/>
      <c r="CM76" s="37"/>
      <c r="CO76" s="3">
        <f t="shared" si="71"/>
        <v>0</v>
      </c>
      <c r="CQ76" s="3">
        <f>CJ76+CC76+BV76+BO76+BH76+BA76+AT76+AM76+AF76+Y76+R76+K76</f>
        <v>165864974</v>
      </c>
      <c r="CR76" s="5"/>
      <c r="CS76" s="5"/>
      <c r="CT76" s="37"/>
      <c r="CV76" s="5"/>
      <c r="CX76" s="5">
        <f t="shared" si="32"/>
        <v>20744107</v>
      </c>
      <c r="CY76" s="5">
        <f t="shared" si="33"/>
        <v>20744107</v>
      </c>
      <c r="CZ76" s="5">
        <f t="shared" si="70"/>
        <v>20744107</v>
      </c>
      <c r="DA76" s="5">
        <f t="shared" si="35"/>
        <v>20744107</v>
      </c>
    </row>
    <row r="77" spans="1:105" s="31" customFormat="1" ht="16.5" customHeight="1" x14ac:dyDescent="0.3">
      <c r="A77" s="29"/>
      <c r="B77" s="30" t="s">
        <v>60</v>
      </c>
      <c r="D77" s="3">
        <v>661369</v>
      </c>
      <c r="E77" s="3">
        <v>661369</v>
      </c>
      <c r="F77" s="3">
        <f t="shared" si="2"/>
        <v>0</v>
      </c>
      <c r="G77" s="32">
        <f t="shared" si="3"/>
        <v>1</v>
      </c>
      <c r="I77" s="3">
        <v>639027</v>
      </c>
      <c r="K77" s="33">
        <v>661369</v>
      </c>
      <c r="L77" s="7">
        <v>661369</v>
      </c>
      <c r="M77" s="3">
        <f t="shared" si="40"/>
        <v>0</v>
      </c>
      <c r="N77" s="32">
        <f t="shared" si="41"/>
        <v>1</v>
      </c>
      <c r="P77" s="3">
        <v>639027</v>
      </c>
      <c r="R77" s="3">
        <v>661369</v>
      </c>
      <c r="S77" s="3">
        <v>661369</v>
      </c>
      <c r="T77" s="3">
        <f t="shared" si="42"/>
        <v>0</v>
      </c>
      <c r="U77" s="32">
        <f t="shared" si="43"/>
        <v>1</v>
      </c>
      <c r="W77" s="3">
        <v>639027</v>
      </c>
      <c r="Y77" s="3">
        <v>661369</v>
      </c>
      <c r="Z77" s="34">
        <v>661369</v>
      </c>
      <c r="AA77" s="3">
        <f t="shared" si="44"/>
        <v>0</v>
      </c>
      <c r="AB77" s="32">
        <f t="shared" si="45"/>
        <v>1</v>
      </c>
      <c r="AD77" s="3">
        <v>639027</v>
      </c>
      <c r="AF77" s="3">
        <v>661369</v>
      </c>
      <c r="AG77" s="34">
        <v>661369</v>
      </c>
      <c r="AH77" s="3">
        <f t="shared" si="46"/>
        <v>0</v>
      </c>
      <c r="AI77" s="32">
        <f t="shared" si="47"/>
        <v>1</v>
      </c>
      <c r="AK77" s="3">
        <v>639027</v>
      </c>
      <c r="AM77" s="3">
        <v>661369</v>
      </c>
      <c r="AN77" s="3">
        <v>661369</v>
      </c>
      <c r="AO77" s="3">
        <f t="shared" si="48"/>
        <v>0</v>
      </c>
      <c r="AP77" s="32">
        <f t="shared" si="49"/>
        <v>1</v>
      </c>
      <c r="AR77" s="3">
        <v>639027</v>
      </c>
      <c r="AT77" s="3">
        <v>661369</v>
      </c>
      <c r="AU77" s="3">
        <v>661369</v>
      </c>
      <c r="AV77" s="3">
        <f t="shared" si="50"/>
        <v>0</v>
      </c>
      <c r="AW77" s="32">
        <f t="shared" si="51"/>
        <v>1</v>
      </c>
      <c r="AY77" s="3">
        <v>639027</v>
      </c>
      <c r="BA77" s="3">
        <v>661369</v>
      </c>
      <c r="BB77" s="3">
        <f>667561.72-6192.72</f>
        <v>661369</v>
      </c>
      <c r="BC77" s="3">
        <f t="shared" si="52"/>
        <v>0</v>
      </c>
      <c r="BD77" s="32">
        <f t="shared" si="53"/>
        <v>1</v>
      </c>
      <c r="BF77" s="3">
        <v>639027</v>
      </c>
      <c r="BH77" s="3">
        <v>661369</v>
      </c>
      <c r="BI77" s="3">
        <v>661369</v>
      </c>
      <c r="BJ77" s="3">
        <f t="shared" si="54"/>
        <v>0</v>
      </c>
      <c r="BK77" s="32">
        <f t="shared" si="55"/>
        <v>1</v>
      </c>
      <c r="BM77" s="3">
        <v>640609.4</v>
      </c>
      <c r="BO77" s="3">
        <v>661367</v>
      </c>
      <c r="BP77" s="3">
        <f>661367</f>
        <v>661367</v>
      </c>
      <c r="BQ77" s="3">
        <f t="shared" si="56"/>
        <v>0</v>
      </c>
      <c r="BR77" s="32">
        <f t="shared" si="57"/>
        <v>1</v>
      </c>
      <c r="BT77" s="3">
        <f>3196719.4-2559272.8</f>
        <v>637446.60000000009</v>
      </c>
      <c r="BV77" s="3">
        <v>0</v>
      </c>
      <c r="BW77" s="34">
        <v>0</v>
      </c>
      <c r="BX77" s="3">
        <f t="shared" si="58"/>
        <v>0</v>
      </c>
      <c r="BY77" s="32">
        <f t="shared" si="59"/>
        <v>0</v>
      </c>
      <c r="CA77" s="3">
        <f>641343.4-641343.4</f>
        <v>0</v>
      </c>
      <c r="CC77" s="3">
        <v>76586</v>
      </c>
      <c r="CD77" s="3"/>
      <c r="CE77" s="3">
        <f t="shared" si="60"/>
        <v>-76586</v>
      </c>
      <c r="CF77" s="32">
        <f t="shared" si="61"/>
        <v>0</v>
      </c>
      <c r="CH77" s="3"/>
      <c r="CJ77" s="3">
        <f t="shared" si="26"/>
        <v>6690274</v>
      </c>
      <c r="CK77" s="3">
        <f>+E77+L77+S77+Z77+AG77+AN77+AU77+BB77+BI77+BP77+BW77+CD77</f>
        <v>6613688</v>
      </c>
      <c r="CL77" s="3">
        <f t="shared" si="63"/>
        <v>-76586</v>
      </c>
      <c r="CM77" s="32">
        <f t="shared" si="64"/>
        <v>0.98855263625974066</v>
      </c>
      <c r="CO77" s="3">
        <f t="shared" si="71"/>
        <v>6390272</v>
      </c>
      <c r="CQ77" s="3">
        <f t="shared" ref="CQ77:CR84" si="72">+D77+K77+R77+Y77+AF77+AM77+AT77+BA77+BH77+BO77+BV77+CC77</f>
        <v>6690274</v>
      </c>
      <c r="CR77" s="3">
        <f t="shared" si="72"/>
        <v>6613688</v>
      </c>
      <c r="CS77" s="3">
        <f t="shared" si="67"/>
        <v>-76586</v>
      </c>
      <c r="CT77" s="32">
        <f t="shared" si="68"/>
        <v>0.98855263625974066</v>
      </c>
      <c r="CV77" s="3">
        <f t="shared" ref="CV77:CV84" si="73">+I77+P77+W77+AD77+AK77+AR77+AY77+BF77+BM77+BT77+CA77+CH77</f>
        <v>6390272</v>
      </c>
      <c r="CX77" s="3">
        <f t="shared" si="32"/>
        <v>737953</v>
      </c>
      <c r="CY77" s="3">
        <f t="shared" si="33"/>
        <v>737953</v>
      </c>
      <c r="CZ77" s="3">
        <f t="shared" si="70"/>
        <v>737953</v>
      </c>
      <c r="DA77" s="3">
        <f t="shared" si="35"/>
        <v>7351641</v>
      </c>
    </row>
    <row r="78" spans="1:105" s="31" customFormat="1" ht="16.5" customHeight="1" x14ac:dyDescent="0.3">
      <c r="A78" s="29"/>
      <c r="B78" s="30" t="s">
        <v>61</v>
      </c>
      <c r="D78" s="3">
        <v>6654911</v>
      </c>
      <c r="E78" s="3">
        <v>6654911</v>
      </c>
      <c r="F78" s="3">
        <f t="shared" si="2"/>
        <v>0</v>
      </c>
      <c r="G78" s="32">
        <f t="shared" si="3"/>
        <v>1</v>
      </c>
      <c r="I78" s="3">
        <v>6318040</v>
      </c>
      <c r="K78" s="33">
        <v>6654911</v>
      </c>
      <c r="L78" s="3">
        <f>13309822-6654911</f>
        <v>6654911</v>
      </c>
      <c r="M78" s="3">
        <f t="shared" si="40"/>
        <v>0</v>
      </c>
      <c r="N78" s="32">
        <f t="shared" si="41"/>
        <v>1</v>
      </c>
      <c r="P78" s="3">
        <v>6318040</v>
      </c>
      <c r="R78" s="3">
        <v>6654911</v>
      </c>
      <c r="S78" s="3">
        <v>6654911</v>
      </c>
      <c r="T78" s="3">
        <f t="shared" si="42"/>
        <v>0</v>
      </c>
      <c r="U78" s="32">
        <f t="shared" si="43"/>
        <v>1</v>
      </c>
      <c r="W78" s="3">
        <v>6318040</v>
      </c>
      <c r="Y78" s="3">
        <v>6654911</v>
      </c>
      <c r="Z78" s="34">
        <v>6654911</v>
      </c>
      <c r="AA78" s="3">
        <f t="shared" si="44"/>
        <v>0</v>
      </c>
      <c r="AB78" s="32">
        <f t="shared" si="45"/>
        <v>1</v>
      </c>
      <c r="AD78" s="3">
        <v>6318040</v>
      </c>
      <c r="AF78" s="3">
        <v>6654911</v>
      </c>
      <c r="AG78" s="34">
        <v>6654911</v>
      </c>
      <c r="AH78" s="3">
        <f t="shared" si="46"/>
        <v>0</v>
      </c>
      <c r="AI78" s="32">
        <f t="shared" si="47"/>
        <v>1</v>
      </c>
      <c r="AK78" s="3">
        <v>6318040</v>
      </c>
      <c r="AM78" s="3">
        <v>6654911</v>
      </c>
      <c r="AN78" s="3">
        <v>6654911</v>
      </c>
      <c r="AO78" s="3">
        <f t="shared" si="48"/>
        <v>0</v>
      </c>
      <c r="AP78" s="32">
        <f t="shared" si="49"/>
        <v>1</v>
      </c>
      <c r="AR78" s="3">
        <v>6318040</v>
      </c>
      <c r="AT78" s="3">
        <v>6654911</v>
      </c>
      <c r="AU78" s="3">
        <v>6654911</v>
      </c>
      <c r="AV78" s="3">
        <f t="shared" si="50"/>
        <v>0</v>
      </c>
      <c r="AW78" s="32">
        <f t="shared" si="51"/>
        <v>1</v>
      </c>
      <c r="AY78" s="3">
        <v>6318040</v>
      </c>
      <c r="BA78" s="3">
        <v>6654911</v>
      </c>
      <c r="BB78" s="3">
        <v>6654911</v>
      </c>
      <c r="BC78" s="3">
        <f t="shared" si="52"/>
        <v>0</v>
      </c>
      <c r="BD78" s="32">
        <f t="shared" si="53"/>
        <v>1</v>
      </c>
      <c r="BF78" s="3">
        <v>6318040</v>
      </c>
      <c r="BH78" s="3">
        <v>6654911</v>
      </c>
      <c r="BI78" s="3">
        <v>6654911</v>
      </c>
      <c r="BJ78" s="3">
        <f t="shared" si="54"/>
        <v>0</v>
      </c>
      <c r="BK78" s="32">
        <f t="shared" si="55"/>
        <v>1</v>
      </c>
      <c r="BM78" s="3">
        <v>6312824.25</v>
      </c>
      <c r="BO78" s="3">
        <v>6654911</v>
      </c>
      <c r="BP78" s="3">
        <v>6654911</v>
      </c>
      <c r="BQ78" s="3">
        <f t="shared" si="56"/>
        <v>0</v>
      </c>
      <c r="BR78" s="32">
        <f t="shared" si="57"/>
        <v>1</v>
      </c>
      <c r="BT78" s="3">
        <f>26495928.25-20172672.5</f>
        <v>6323255.75</v>
      </c>
      <c r="BV78" s="3">
        <v>6654911</v>
      </c>
      <c r="BW78" s="34">
        <f>6654911</f>
        <v>6654911</v>
      </c>
      <c r="BX78" s="3">
        <f t="shared" si="58"/>
        <v>0</v>
      </c>
      <c r="BY78" s="32">
        <f t="shared" si="59"/>
        <v>1</v>
      </c>
      <c r="CA78" s="3">
        <f>18955116.25-12637076.25</f>
        <v>6318040</v>
      </c>
      <c r="CC78" s="3">
        <v>6696332</v>
      </c>
      <c r="CD78" s="3">
        <v>6654905</v>
      </c>
      <c r="CE78" s="3">
        <f t="shared" si="60"/>
        <v>-41427</v>
      </c>
      <c r="CF78" s="32">
        <f t="shared" si="61"/>
        <v>0.99381347878211534</v>
      </c>
      <c r="CH78" s="3">
        <f>8886810-2568785</f>
        <v>6318025</v>
      </c>
      <c r="CJ78" s="3">
        <f t="shared" si="26"/>
        <v>79900353</v>
      </c>
      <c r="CK78" s="3">
        <f>+E78+L78+S78+Z78+AG78+AN78+AU78+BB78+BI78+BP78+BW78+CD78</f>
        <v>79858926</v>
      </c>
      <c r="CL78" s="3">
        <f t="shared" si="63"/>
        <v>-41427</v>
      </c>
      <c r="CM78" s="32">
        <f t="shared" si="64"/>
        <v>0.99948151668366225</v>
      </c>
      <c r="CO78" s="3">
        <f t="shared" si="71"/>
        <v>75816465</v>
      </c>
      <c r="CQ78" s="3">
        <f t="shared" si="72"/>
        <v>79900353</v>
      </c>
      <c r="CR78" s="3">
        <f t="shared" si="72"/>
        <v>79858926</v>
      </c>
      <c r="CS78" s="3">
        <f t="shared" si="67"/>
        <v>-41427</v>
      </c>
      <c r="CT78" s="32">
        <f t="shared" si="68"/>
        <v>0.99948151668366225</v>
      </c>
      <c r="CV78" s="3">
        <f t="shared" si="73"/>
        <v>75816465</v>
      </c>
      <c r="CX78" s="3">
        <f t="shared" si="32"/>
        <v>20006154</v>
      </c>
      <c r="CY78" s="3">
        <f t="shared" si="33"/>
        <v>20006154</v>
      </c>
      <c r="CZ78" s="3">
        <f t="shared" si="70"/>
        <v>20006154</v>
      </c>
      <c r="DA78" s="3">
        <f t="shared" si="35"/>
        <v>99865080</v>
      </c>
    </row>
    <row r="79" spans="1:105" s="31" customFormat="1" ht="16.5" customHeight="1" x14ac:dyDescent="0.3">
      <c r="A79" s="38"/>
      <c r="B79" s="39" t="s">
        <v>62</v>
      </c>
      <c r="D79" s="6">
        <f>SUM(D76)</f>
        <v>7316280</v>
      </c>
      <c r="E79" s="6">
        <f>SUM(E76)</f>
        <v>7316280</v>
      </c>
      <c r="F79" s="10">
        <f t="shared" si="2"/>
        <v>0</v>
      </c>
      <c r="G79" s="40">
        <f t="shared" si="3"/>
        <v>1</v>
      </c>
      <c r="I79" s="10">
        <f>+I77+I78</f>
        <v>6957067</v>
      </c>
      <c r="K79" s="6">
        <f>SUM(K76)</f>
        <v>7316280</v>
      </c>
      <c r="L79" s="6">
        <f>L76</f>
        <v>7316280</v>
      </c>
      <c r="M79" s="10">
        <f t="shared" si="40"/>
        <v>0</v>
      </c>
      <c r="N79" s="40">
        <f t="shared" si="41"/>
        <v>1</v>
      </c>
      <c r="P79" s="10">
        <f>+P77+P78</f>
        <v>6957067</v>
      </c>
      <c r="R79" s="6">
        <f>SUM(R76)</f>
        <v>7316280</v>
      </c>
      <c r="S79" s="6">
        <f>SUM(S76)</f>
        <v>7316280</v>
      </c>
      <c r="T79" s="10">
        <f t="shared" si="42"/>
        <v>0</v>
      </c>
      <c r="U79" s="40">
        <f t="shared" si="43"/>
        <v>1</v>
      </c>
      <c r="W79" s="10">
        <f>+W77+W78</f>
        <v>6957067</v>
      </c>
      <c r="Y79" s="6">
        <f>SUM(Y76)</f>
        <v>7316280</v>
      </c>
      <c r="Z79" s="6">
        <f>SUM(Z76)</f>
        <v>7316280</v>
      </c>
      <c r="AA79" s="10">
        <f t="shared" si="44"/>
        <v>0</v>
      </c>
      <c r="AB79" s="40">
        <f t="shared" si="45"/>
        <v>1</v>
      </c>
      <c r="AD79" s="10">
        <f>+AD77+AD78</f>
        <v>6957067</v>
      </c>
      <c r="AF79" s="6">
        <f>SUM(AF76)</f>
        <v>7316280</v>
      </c>
      <c r="AG79" s="6">
        <f>SUM(AG76)</f>
        <v>7316280</v>
      </c>
      <c r="AH79" s="10">
        <f t="shared" si="46"/>
        <v>0</v>
      </c>
      <c r="AI79" s="40">
        <f t="shared" si="47"/>
        <v>1</v>
      </c>
      <c r="AK79" s="10">
        <f>+AK77+AK78</f>
        <v>6957067</v>
      </c>
      <c r="AM79" s="10">
        <f>SUM(AM76)</f>
        <v>7316280</v>
      </c>
      <c r="AN79" s="10">
        <f>SUM(AN76)</f>
        <v>7316280</v>
      </c>
      <c r="AO79" s="10">
        <f t="shared" si="48"/>
        <v>0</v>
      </c>
      <c r="AP79" s="40">
        <f t="shared" si="49"/>
        <v>1</v>
      </c>
      <c r="AR79" s="10">
        <f>+AR77+AR78</f>
        <v>6957067</v>
      </c>
      <c r="AT79" s="10">
        <f>+AT77+AT78</f>
        <v>7316280</v>
      </c>
      <c r="AU79" s="10">
        <f>SUM(AU76)</f>
        <v>7316280</v>
      </c>
      <c r="AV79" s="10">
        <f t="shared" si="50"/>
        <v>0</v>
      </c>
      <c r="AW79" s="40">
        <f t="shared" si="51"/>
        <v>1</v>
      </c>
      <c r="AY79" s="10">
        <f>+AY77+AY78</f>
        <v>6957067</v>
      </c>
      <c r="BA79" s="10">
        <f>+BA77+BA78</f>
        <v>7316280</v>
      </c>
      <c r="BB79" s="10">
        <f>+BB77+BB78</f>
        <v>7316280</v>
      </c>
      <c r="BC79" s="10">
        <f t="shared" si="52"/>
        <v>0</v>
      </c>
      <c r="BD79" s="40">
        <f t="shared" si="53"/>
        <v>1</v>
      </c>
      <c r="BF79" s="10">
        <f>+BF77+BF78</f>
        <v>6957067</v>
      </c>
      <c r="BH79" s="10">
        <f>+BH77+BH78</f>
        <v>7316280</v>
      </c>
      <c r="BI79" s="10">
        <f>+BI77+BI78</f>
        <v>7316280</v>
      </c>
      <c r="BJ79" s="10">
        <f t="shared" si="54"/>
        <v>0</v>
      </c>
      <c r="BK79" s="40">
        <f t="shared" si="55"/>
        <v>1</v>
      </c>
      <c r="BM79" s="10">
        <f>+BM77+BM78</f>
        <v>6953433.6500000004</v>
      </c>
      <c r="BO79" s="10">
        <f>+BO77+BO78</f>
        <v>7316278</v>
      </c>
      <c r="BP79" s="10">
        <f>+BP77+BP78</f>
        <v>7316278</v>
      </c>
      <c r="BQ79" s="10">
        <f t="shared" si="56"/>
        <v>0</v>
      </c>
      <c r="BR79" s="40">
        <f t="shared" si="57"/>
        <v>1</v>
      </c>
      <c r="BT79" s="10">
        <f>+BT77+BT78</f>
        <v>6960702.3499999996</v>
      </c>
      <c r="BV79" s="10">
        <f>+BV77+BV78</f>
        <v>6654911</v>
      </c>
      <c r="BW79" s="41">
        <f>+BW77+BW78</f>
        <v>6654911</v>
      </c>
      <c r="BX79" s="10">
        <f t="shared" si="58"/>
        <v>0</v>
      </c>
      <c r="BY79" s="40">
        <f t="shared" si="59"/>
        <v>1</v>
      </c>
      <c r="CA79" s="10">
        <f>+CA77+CA78</f>
        <v>6318040</v>
      </c>
      <c r="CC79" s="10">
        <f>+CC77+CC78</f>
        <v>6772918</v>
      </c>
      <c r="CD79" s="10">
        <f>+CD77+CD78</f>
        <v>6654905</v>
      </c>
      <c r="CE79" s="10">
        <f t="shared" si="60"/>
        <v>-118013</v>
      </c>
      <c r="CF79" s="40">
        <f t="shared" si="61"/>
        <v>0.98257575243048856</v>
      </c>
      <c r="CH79" s="10">
        <f>+CH77+CH78</f>
        <v>6318025</v>
      </c>
      <c r="CJ79" s="10">
        <f t="shared" si="26"/>
        <v>86590627</v>
      </c>
      <c r="CK79" s="10">
        <f>+CK77+CK78</f>
        <v>86472614</v>
      </c>
      <c r="CL79" s="10">
        <f t="shared" si="63"/>
        <v>-118013</v>
      </c>
      <c r="CM79" s="40">
        <f t="shared" si="64"/>
        <v>0.99863711577004755</v>
      </c>
      <c r="CO79" s="10">
        <f t="shared" si="71"/>
        <v>82206737</v>
      </c>
      <c r="CQ79" s="10">
        <f t="shared" si="72"/>
        <v>86590627</v>
      </c>
      <c r="CR79" s="10">
        <f>+E79+L79+S79+Z79+AG79+AN79+AU79+BB79+BI79+BP79+BW79+CD79</f>
        <v>86472614</v>
      </c>
      <c r="CS79" s="10">
        <f t="shared" si="67"/>
        <v>-118013</v>
      </c>
      <c r="CT79" s="40">
        <f t="shared" si="68"/>
        <v>0.99863711577004755</v>
      </c>
      <c r="CV79" s="10">
        <f t="shared" si="73"/>
        <v>82206737</v>
      </c>
      <c r="CX79" s="10">
        <f t="shared" si="32"/>
        <v>20744107</v>
      </c>
      <c r="CY79" s="10">
        <f t="shared" si="33"/>
        <v>20744107</v>
      </c>
      <c r="CZ79" s="10">
        <f t="shared" si="70"/>
        <v>20744107</v>
      </c>
      <c r="DA79" s="10">
        <f t="shared" si="35"/>
        <v>107216721</v>
      </c>
    </row>
    <row r="80" spans="1:105" s="26" customFormat="1" ht="16.5" customHeight="1" x14ac:dyDescent="0.3">
      <c r="A80" s="35">
        <v>45</v>
      </c>
      <c r="B80" s="36" t="s">
        <v>63</v>
      </c>
      <c r="D80" s="3"/>
      <c r="E80" s="3">
        <v>9063499</v>
      </c>
      <c r="F80" s="3">
        <f t="shared" si="2"/>
        <v>9063499</v>
      </c>
      <c r="G80" s="32">
        <f t="shared" si="3"/>
        <v>0</v>
      </c>
      <c r="I80" s="3">
        <v>10713849.27</v>
      </c>
      <c r="K80" s="33"/>
      <c r="L80" s="3">
        <v>616225.89</v>
      </c>
      <c r="M80" s="3">
        <f t="shared" si="40"/>
        <v>616225.89</v>
      </c>
      <c r="N80" s="32">
        <f t="shared" si="41"/>
        <v>0</v>
      </c>
      <c r="P80" s="3">
        <v>12265733.810000001</v>
      </c>
      <c r="R80" s="3"/>
      <c r="S80" s="3">
        <v>14306586.109999999</v>
      </c>
      <c r="T80" s="3">
        <f t="shared" si="42"/>
        <v>14306586.109999999</v>
      </c>
      <c r="U80" s="32">
        <f t="shared" si="43"/>
        <v>0</v>
      </c>
      <c r="W80" s="3">
        <v>55330695.530000001</v>
      </c>
      <c r="Y80" s="3"/>
      <c r="Z80" s="34">
        <f>30660301.82-15329500</f>
        <v>15330801.82</v>
      </c>
      <c r="AA80" s="3">
        <f t="shared" si="44"/>
        <v>15330801.82</v>
      </c>
      <c r="AB80" s="32">
        <f t="shared" si="45"/>
        <v>0</v>
      </c>
      <c r="AD80" s="3">
        <v>13338146.48</v>
      </c>
      <c r="AF80" s="3"/>
      <c r="AG80" s="34">
        <v>552316.64</v>
      </c>
      <c r="AH80" s="3">
        <f t="shared" si="46"/>
        <v>552316.64</v>
      </c>
      <c r="AI80" s="32">
        <f t="shared" si="47"/>
        <v>0</v>
      </c>
      <c r="AK80" s="3">
        <v>2843887.5399999996</v>
      </c>
      <c r="AM80" s="3"/>
      <c r="AN80" s="3">
        <v>49200</v>
      </c>
      <c r="AO80" s="3">
        <f t="shared" si="48"/>
        <v>49200</v>
      </c>
      <c r="AP80" s="32">
        <f t="shared" si="49"/>
        <v>0</v>
      </c>
      <c r="AR80" s="3">
        <v>8729300.2799999993</v>
      </c>
      <c r="AT80" s="3">
        <v>0</v>
      </c>
      <c r="AU80" s="3">
        <v>17079500</v>
      </c>
      <c r="AV80" s="3">
        <f t="shared" si="50"/>
        <v>17079500</v>
      </c>
      <c r="AW80" s="32">
        <f t="shared" si="51"/>
        <v>0</v>
      </c>
      <c r="AY80" s="3">
        <v>7388147.5300000003</v>
      </c>
      <c r="BA80" s="3">
        <v>0</v>
      </c>
      <c r="BB80" s="3">
        <f>4485000-242500</f>
        <v>4242500</v>
      </c>
      <c r="BC80" s="3">
        <f t="shared" si="52"/>
        <v>4242500</v>
      </c>
      <c r="BD80" s="32">
        <f t="shared" si="53"/>
        <v>0</v>
      </c>
      <c r="BF80" s="3">
        <v>33234268.48</v>
      </c>
      <c r="BH80" s="3">
        <v>0</v>
      </c>
      <c r="BI80" s="3">
        <f>14999847.08-1711900.01</f>
        <v>13287947.07</v>
      </c>
      <c r="BJ80" s="3">
        <f t="shared" si="54"/>
        <v>13287947.07</v>
      </c>
      <c r="BK80" s="32">
        <f t="shared" si="55"/>
        <v>0</v>
      </c>
      <c r="BM80" s="3">
        <v>32562411.59</v>
      </c>
      <c r="BO80" s="3">
        <v>0</v>
      </c>
      <c r="BP80" s="3">
        <f>13521220.6-658566.67</f>
        <v>12862653.93</v>
      </c>
      <c r="BQ80" s="3">
        <f t="shared" si="56"/>
        <v>12862653.93</v>
      </c>
      <c r="BR80" s="32">
        <f t="shared" si="57"/>
        <v>0</v>
      </c>
      <c r="BT80" s="3">
        <f>14281174-7140587</f>
        <v>7140587</v>
      </c>
      <c r="BV80" s="3">
        <v>0</v>
      </c>
      <c r="BW80" s="34">
        <f>13196906.22-1332041.73</f>
        <v>11864864.49</v>
      </c>
      <c r="BX80" s="3">
        <f t="shared" si="58"/>
        <v>11864864.49</v>
      </c>
      <c r="BY80" s="32">
        <f t="shared" si="59"/>
        <v>0</v>
      </c>
      <c r="CA80" s="3">
        <f>4753832.11-300000</f>
        <v>4453832.1100000003</v>
      </c>
      <c r="CC80" s="3">
        <v>0</v>
      </c>
      <c r="CD80" s="7">
        <f>9544919.48-116666.66</f>
        <v>9428252.8200000003</v>
      </c>
      <c r="CE80" s="3">
        <f t="shared" si="60"/>
        <v>9428252.8200000003</v>
      </c>
      <c r="CF80" s="32">
        <f t="shared" si="61"/>
        <v>0</v>
      </c>
      <c r="CH80" s="3">
        <f>9191660.45-5744573.27</f>
        <v>3447087.1799999997</v>
      </c>
      <c r="CJ80" s="3">
        <f>+D80+K80+R80+Y80+AF80+AM80+AT80+BA80+BH80+BO80+BV80+CC80</f>
        <v>0</v>
      </c>
      <c r="CK80" s="3">
        <f>+E80+L80+S80+Z80+AG80+AN80+AU80+BB80+BI80+BP80+BW80+CD80</f>
        <v>108684347.77000001</v>
      </c>
      <c r="CL80" s="3">
        <f t="shared" si="63"/>
        <v>108684347.77000001</v>
      </c>
      <c r="CM80" s="32">
        <f t="shared" si="64"/>
        <v>0</v>
      </c>
      <c r="CO80" s="3">
        <f t="shared" si="71"/>
        <v>191447946.80000004</v>
      </c>
      <c r="CQ80" s="3">
        <f t="shared" si="72"/>
        <v>0</v>
      </c>
      <c r="CR80" s="3">
        <f t="shared" si="72"/>
        <v>108684347.77000001</v>
      </c>
      <c r="CS80" s="3">
        <f t="shared" si="67"/>
        <v>108684347.77000001</v>
      </c>
      <c r="CT80" s="32">
        <f t="shared" si="68"/>
        <v>0</v>
      </c>
      <c r="CV80" s="3">
        <f t="shared" si="73"/>
        <v>191447946.80000004</v>
      </c>
      <c r="CX80" s="52">
        <f>BO80+BV80+CC80</f>
        <v>0</v>
      </c>
      <c r="CY80" s="3">
        <f>BO80+BV80+CC80</f>
        <v>0</v>
      </c>
      <c r="CZ80" s="3">
        <v>30000000</v>
      </c>
      <c r="DA80" s="3">
        <f>+CZ80+CR80</f>
        <v>138684347.77000001</v>
      </c>
    </row>
    <row r="81" spans="1:105" s="31" customFormat="1" ht="16.5" customHeight="1" x14ac:dyDescent="0.3">
      <c r="A81" s="47"/>
      <c r="B81" s="48" t="s">
        <v>64</v>
      </c>
      <c r="D81" s="11">
        <f>D79+D75</f>
        <v>25252748</v>
      </c>
      <c r="E81" s="11">
        <f>E79+E75+E80</f>
        <v>32270250</v>
      </c>
      <c r="F81" s="11">
        <f>E81-D81</f>
        <v>7017502</v>
      </c>
      <c r="G81" s="49">
        <f>IFERROR(E81/D81,0)</f>
        <v>1.2778906279823488</v>
      </c>
      <c r="I81" s="11">
        <f>+I75+I79+I80</f>
        <v>34532354.269999996</v>
      </c>
      <c r="K81" s="8">
        <f>+K75+K79+K80</f>
        <v>27875270</v>
      </c>
      <c r="L81" s="8">
        <f>+L75+L79+L80</f>
        <v>36705290.890000001</v>
      </c>
      <c r="M81" s="11">
        <f t="shared" si="40"/>
        <v>8830020.8900000006</v>
      </c>
      <c r="N81" s="49">
        <f t="shared" si="41"/>
        <v>1.3167689816098642</v>
      </c>
      <c r="P81" s="11">
        <f>+P75+P79+P80</f>
        <v>38566146.810000002</v>
      </c>
      <c r="R81" s="11">
        <f>R79+R75</f>
        <v>23472545</v>
      </c>
      <c r="S81" s="11">
        <f>S79+S75+S80</f>
        <v>40182443.109999999</v>
      </c>
      <c r="T81" s="11">
        <f t="shared" si="42"/>
        <v>16709898.109999999</v>
      </c>
      <c r="U81" s="49">
        <f t="shared" si="43"/>
        <v>1.7118911950110225</v>
      </c>
      <c r="W81" s="11">
        <f>+W75+W79+W80</f>
        <v>77494067.530000001</v>
      </c>
      <c r="Y81" s="11">
        <f>Y79+Y75</f>
        <v>28180451</v>
      </c>
      <c r="Z81" s="11">
        <f>+Z75+Z79+Z80</f>
        <v>48310587.82</v>
      </c>
      <c r="AA81" s="11">
        <f t="shared" si="44"/>
        <v>20130136.82</v>
      </c>
      <c r="AB81" s="49">
        <f t="shared" si="45"/>
        <v>1.7143298316978675</v>
      </c>
      <c r="AD81" s="11">
        <f>+AD75+AD79+AD80</f>
        <v>39842359.480000004</v>
      </c>
      <c r="AF81" s="11">
        <f>AF79+AF75</f>
        <v>25362897</v>
      </c>
      <c r="AG81" s="11">
        <f>+AG75+AG79+AG80</f>
        <v>31448820.640000001</v>
      </c>
      <c r="AH81" s="11">
        <f t="shared" si="46"/>
        <v>6085923.6400000006</v>
      </c>
      <c r="AI81" s="49">
        <f t="shared" si="47"/>
        <v>1.2399538049616337</v>
      </c>
      <c r="AK81" s="11">
        <f>+AK75+AK79+AK80</f>
        <v>33114185.539999999</v>
      </c>
      <c r="AM81" s="11">
        <f>AM79+AM75</f>
        <v>23192147</v>
      </c>
      <c r="AN81" s="11">
        <f>+AN75+AN79+AN80</f>
        <v>30440179</v>
      </c>
      <c r="AO81" s="11">
        <f t="shared" si="48"/>
        <v>7248032</v>
      </c>
      <c r="AP81" s="49">
        <f t="shared" si="49"/>
        <v>1.3125209580639516</v>
      </c>
      <c r="AR81" s="11">
        <f>+AR75+AR79+AR80</f>
        <v>30632282.280000001</v>
      </c>
      <c r="AT81" s="11">
        <f>+AT75+AT79+AT80</f>
        <v>24486086</v>
      </c>
      <c r="AU81" s="11">
        <f>+AU75+AU79+AU80</f>
        <v>46572632</v>
      </c>
      <c r="AV81" s="11">
        <f t="shared" si="50"/>
        <v>22086546</v>
      </c>
      <c r="AW81" s="49">
        <f t="shared" si="51"/>
        <v>1.9020039380732388</v>
      </c>
      <c r="AY81" s="11">
        <f>+AY75+AY79+AY80</f>
        <v>34347601.530000001</v>
      </c>
      <c r="BA81" s="11">
        <f>+BA75+BA79+BA80</f>
        <v>24833894</v>
      </c>
      <c r="BB81" s="11">
        <f>+BB75+BB79+BB80</f>
        <v>35195920</v>
      </c>
      <c r="BC81" s="11">
        <f t="shared" si="52"/>
        <v>10362026</v>
      </c>
      <c r="BD81" s="49">
        <f t="shared" si="53"/>
        <v>1.4172533715413298</v>
      </c>
      <c r="BF81" s="11">
        <f>+BF75+BF79+BF80</f>
        <v>59328854.480000004</v>
      </c>
      <c r="BH81" s="11">
        <f>+BH75+BH79+BH80</f>
        <v>25022685</v>
      </c>
      <c r="BI81" s="11">
        <f>+BI75+BI79+BI80</f>
        <v>39228966.07</v>
      </c>
      <c r="BJ81" s="11">
        <f t="shared" si="54"/>
        <v>14206281.07</v>
      </c>
      <c r="BK81" s="49">
        <f t="shared" si="55"/>
        <v>1.5677360790818411</v>
      </c>
      <c r="BM81" s="11">
        <f>+BM75+BM79+BM80</f>
        <v>55800343.239999995</v>
      </c>
      <c r="BO81" s="11">
        <f>+BO75+BO79+BO80</f>
        <v>23423630</v>
      </c>
      <c r="BP81" s="11">
        <f>+BP75+BP79+BP80</f>
        <v>38578986.93</v>
      </c>
      <c r="BQ81" s="11">
        <f>BP81-BO81</f>
        <v>15155356.93</v>
      </c>
      <c r="BR81" s="49">
        <f>IFERROR(BP81/BO81,0)</f>
        <v>1.6470114550989747</v>
      </c>
      <c r="BT81" s="11">
        <f>+BT75+BT79+BT80</f>
        <v>33578600.350000001</v>
      </c>
      <c r="BV81" s="11">
        <f>+BV75+BV79+BV80</f>
        <v>22991348</v>
      </c>
      <c r="BW81" s="50">
        <f>+BW75+BW79+BW80</f>
        <v>39310010.490000002</v>
      </c>
      <c r="BX81" s="11">
        <f t="shared" si="58"/>
        <v>16318662.490000002</v>
      </c>
      <c r="BY81" s="49">
        <f t="shared" si="59"/>
        <v>1.7097740632693657</v>
      </c>
      <c r="CA81" s="11">
        <f>+CA75+CA79+CA80</f>
        <v>31836285.109999999</v>
      </c>
      <c r="CC81" s="11">
        <f>+CC75+CC79+CC80</f>
        <v>23342083</v>
      </c>
      <c r="CD81" s="11">
        <f>+CD75+CD79+CD80</f>
        <v>36680537.82</v>
      </c>
      <c r="CE81" s="11">
        <f t="shared" si="60"/>
        <v>13338454.82</v>
      </c>
      <c r="CF81" s="49">
        <f t="shared" si="61"/>
        <v>1.5714337842085473</v>
      </c>
      <c r="CH81" s="11">
        <f>+CH75+CH79+CH80</f>
        <v>27522580.18</v>
      </c>
      <c r="CJ81" s="11">
        <f>+D81+K81+R81+Y81+AF81+AM81+AT81+BA81+BH81+BO81+BV81+CC81</f>
        <v>297435784</v>
      </c>
      <c r="CK81" s="11">
        <f>+CK75+CK79+CK80</f>
        <v>454924624.76999998</v>
      </c>
      <c r="CL81" s="11">
        <f>CK81-CJ81</f>
        <v>157488840.76999998</v>
      </c>
      <c r="CM81" s="49">
        <f>IFERROR(CK81/CJ81,0)</f>
        <v>1.5294885459040799</v>
      </c>
      <c r="CO81" s="11">
        <f t="shared" si="71"/>
        <v>496595660.80000001</v>
      </c>
      <c r="CQ81" s="11">
        <f t="shared" si="72"/>
        <v>297435784</v>
      </c>
      <c r="CR81" s="11">
        <f>+E81+L81+S81+Z81+AG81+AN81+AU81+BB81+BI81+BP81+BW81+CD81</f>
        <v>454924624.76999998</v>
      </c>
      <c r="CS81" s="11">
        <f t="shared" si="67"/>
        <v>157488840.76999998</v>
      </c>
      <c r="CT81" s="49">
        <f t="shared" si="68"/>
        <v>1.5294885459040799</v>
      </c>
      <c r="CV81" s="11">
        <f t="shared" si="73"/>
        <v>496595660.80000013</v>
      </c>
      <c r="CX81" s="11">
        <f>BO81+BV81+CC81</f>
        <v>69757061</v>
      </c>
      <c r="CY81" s="11">
        <f>BO81+BV81+CC81</f>
        <v>69757061</v>
      </c>
      <c r="CZ81" s="11">
        <f>+CZ75+CZ79+CZ80</f>
        <v>99757061</v>
      </c>
      <c r="DA81" s="11">
        <f>+CZ81+CR81</f>
        <v>554681685.76999998</v>
      </c>
    </row>
    <row r="82" spans="1:105" s="26" customFormat="1" ht="16.5" customHeight="1" x14ac:dyDescent="0.3">
      <c r="A82" s="35">
        <v>46</v>
      </c>
      <c r="B82" s="36" t="s">
        <v>65</v>
      </c>
      <c r="D82" s="5"/>
      <c r="E82" s="5"/>
      <c r="F82" s="5">
        <f>E82-D82</f>
        <v>0</v>
      </c>
      <c r="G82" s="37">
        <f>IFERROR(E82/D82,0)</f>
        <v>0</v>
      </c>
      <c r="I82" s="5">
        <v>0</v>
      </c>
      <c r="K82" s="42"/>
      <c r="L82" s="5"/>
      <c r="M82" s="5">
        <f t="shared" si="40"/>
        <v>0</v>
      </c>
      <c r="N82" s="37">
        <f t="shared" si="41"/>
        <v>0</v>
      </c>
      <c r="P82" s="5">
        <v>0</v>
      </c>
      <c r="R82" s="5"/>
      <c r="S82" s="5"/>
      <c r="T82" s="5">
        <f t="shared" si="42"/>
        <v>0</v>
      </c>
      <c r="U82" s="37">
        <f t="shared" si="43"/>
        <v>0</v>
      </c>
      <c r="W82" s="5">
        <v>0</v>
      </c>
      <c r="Y82" s="5"/>
      <c r="Z82" s="43"/>
      <c r="AA82" s="5">
        <f t="shared" si="44"/>
        <v>0</v>
      </c>
      <c r="AB82" s="37">
        <f t="shared" si="45"/>
        <v>0</v>
      </c>
      <c r="AD82" s="5">
        <v>0</v>
      </c>
      <c r="AF82" s="5"/>
      <c r="AG82" s="43"/>
      <c r="AH82" s="5">
        <f t="shared" si="46"/>
        <v>0</v>
      </c>
      <c r="AI82" s="37">
        <f t="shared" si="47"/>
        <v>0</v>
      </c>
      <c r="AK82" s="5">
        <v>0</v>
      </c>
      <c r="AM82" s="5"/>
      <c r="AN82" s="5"/>
      <c r="AO82" s="5">
        <f t="shared" si="48"/>
        <v>0</v>
      </c>
      <c r="AP82" s="37">
        <f t="shared" si="49"/>
        <v>0</v>
      </c>
      <c r="AR82" s="5">
        <v>0</v>
      </c>
      <c r="AT82" s="5">
        <v>0</v>
      </c>
      <c r="AU82" s="5"/>
      <c r="AV82" s="5">
        <f t="shared" si="50"/>
        <v>0</v>
      </c>
      <c r="AW82" s="37">
        <f t="shared" si="51"/>
        <v>0</v>
      </c>
      <c r="AY82" s="5">
        <v>0</v>
      </c>
      <c r="BA82" s="5">
        <v>0</v>
      </c>
      <c r="BB82" s="5"/>
      <c r="BC82" s="5">
        <f t="shared" si="52"/>
        <v>0</v>
      </c>
      <c r="BD82" s="37">
        <f t="shared" si="53"/>
        <v>0</v>
      </c>
      <c r="BF82" s="5">
        <v>0</v>
      </c>
      <c r="BH82" s="5">
        <v>0</v>
      </c>
      <c r="BI82" s="5"/>
      <c r="BJ82" s="5">
        <f t="shared" si="54"/>
        <v>0</v>
      </c>
      <c r="BK82" s="37">
        <f t="shared" si="55"/>
        <v>0</v>
      </c>
      <c r="BM82" s="5">
        <v>0</v>
      </c>
      <c r="BO82" s="5">
        <v>0</v>
      </c>
      <c r="BP82" s="5"/>
      <c r="BQ82" s="5">
        <f t="shared" si="56"/>
        <v>0</v>
      </c>
      <c r="BR82" s="37">
        <f t="shared" si="57"/>
        <v>0</v>
      </c>
      <c r="BT82" s="5">
        <v>0</v>
      </c>
      <c r="BV82" s="5">
        <v>0</v>
      </c>
      <c r="BW82" s="43">
        <v>0</v>
      </c>
      <c r="BX82" s="5">
        <f t="shared" si="58"/>
        <v>0</v>
      </c>
      <c r="BY82" s="37">
        <f t="shared" si="59"/>
        <v>0</v>
      </c>
      <c r="CA82" s="5">
        <v>0</v>
      </c>
      <c r="CC82" s="5">
        <v>0</v>
      </c>
      <c r="CD82" s="5"/>
      <c r="CE82" s="5">
        <f t="shared" si="60"/>
        <v>0</v>
      </c>
      <c r="CF82" s="37">
        <f t="shared" si="61"/>
        <v>0</v>
      </c>
      <c r="CH82" s="5">
        <v>0</v>
      </c>
      <c r="CJ82" s="3">
        <f>+D82+K82+R82+Y82+AF82+AM82+AT82+BA82+BH82+BO82+BV82+CC82</f>
        <v>0</v>
      </c>
      <c r="CK82" s="5">
        <f>+E82+L82+S82+Z82+AG82+AN82+AU82+BB82+BI82+BP82</f>
        <v>0</v>
      </c>
      <c r="CL82" s="5">
        <f t="shared" si="63"/>
        <v>0</v>
      </c>
      <c r="CM82" s="37">
        <f t="shared" si="64"/>
        <v>0</v>
      </c>
      <c r="CO82" s="5">
        <f>+I82+P82+W82+AD82+AK82+AR82</f>
        <v>0</v>
      </c>
      <c r="CQ82" s="5">
        <f t="shared" si="72"/>
        <v>0</v>
      </c>
      <c r="CR82" s="5">
        <f t="shared" si="72"/>
        <v>0</v>
      </c>
      <c r="CS82" s="5">
        <f t="shared" si="67"/>
        <v>0</v>
      </c>
      <c r="CT82" s="37">
        <f t="shared" si="68"/>
        <v>0</v>
      </c>
      <c r="CV82" s="5">
        <f t="shared" si="73"/>
        <v>0</v>
      </c>
      <c r="CX82" s="5">
        <f>BO82+BV82+CC82</f>
        <v>0</v>
      </c>
      <c r="CY82" s="5">
        <f>BO82+BV82+CC82</f>
        <v>0</v>
      </c>
      <c r="CZ82" s="5">
        <f>CY82*(1+($CY$14))</f>
        <v>0</v>
      </c>
      <c r="DA82" s="5">
        <f>+CZ82+CR82</f>
        <v>0</v>
      </c>
    </row>
    <row r="83" spans="1:105" s="26" customFormat="1" ht="16.5" customHeight="1" x14ac:dyDescent="0.3">
      <c r="A83" s="35">
        <v>47</v>
      </c>
      <c r="B83" s="36" t="s">
        <v>66</v>
      </c>
      <c r="D83" s="3"/>
      <c r="E83" s="3"/>
      <c r="F83" s="3">
        <f>E83-D83</f>
        <v>0</v>
      </c>
      <c r="G83" s="32">
        <f>IFERROR(E83/D83,0)</f>
        <v>0</v>
      </c>
      <c r="I83" s="3">
        <v>0</v>
      </c>
      <c r="K83" s="33"/>
      <c r="L83" s="3"/>
      <c r="M83" s="3">
        <v>0</v>
      </c>
      <c r="N83" s="32">
        <f t="shared" si="41"/>
        <v>0</v>
      </c>
      <c r="P83" s="3">
        <v>0</v>
      </c>
      <c r="R83" s="3"/>
      <c r="S83" s="3"/>
      <c r="T83" s="3">
        <v>0</v>
      </c>
      <c r="U83" s="32">
        <f t="shared" si="43"/>
        <v>0</v>
      </c>
      <c r="W83" s="3">
        <v>0</v>
      </c>
      <c r="Y83" s="3"/>
      <c r="Z83" s="34"/>
      <c r="AA83" s="3">
        <v>0</v>
      </c>
      <c r="AB83" s="32">
        <f t="shared" si="45"/>
        <v>0</v>
      </c>
      <c r="AD83" s="3">
        <v>0</v>
      </c>
      <c r="AF83" s="3"/>
      <c r="AG83" s="34"/>
      <c r="AH83" s="3">
        <v>0</v>
      </c>
      <c r="AI83" s="32">
        <f t="shared" si="47"/>
        <v>0</v>
      </c>
      <c r="AK83" s="3">
        <v>0</v>
      </c>
      <c r="AM83" s="3"/>
      <c r="AN83" s="3"/>
      <c r="AO83" s="3">
        <v>0</v>
      </c>
      <c r="AP83" s="32">
        <f t="shared" si="49"/>
        <v>0</v>
      </c>
      <c r="AR83" s="3">
        <v>0</v>
      </c>
      <c r="AT83" s="3">
        <v>0</v>
      </c>
      <c r="AU83" s="3"/>
      <c r="AV83" s="3">
        <v>0</v>
      </c>
      <c r="AW83" s="32">
        <f t="shared" si="51"/>
        <v>0</v>
      </c>
      <c r="AY83" s="3">
        <v>0</v>
      </c>
      <c r="BA83" s="3">
        <v>0</v>
      </c>
      <c r="BB83" s="3"/>
      <c r="BC83" s="3">
        <v>0</v>
      </c>
      <c r="BD83" s="32">
        <f t="shared" si="53"/>
        <v>0</v>
      </c>
      <c r="BF83" s="3">
        <v>0</v>
      </c>
      <c r="BH83" s="3">
        <v>0</v>
      </c>
      <c r="BI83" s="3"/>
      <c r="BJ83" s="3">
        <v>0</v>
      </c>
      <c r="BK83" s="32">
        <f t="shared" si="55"/>
        <v>0</v>
      </c>
      <c r="BM83" s="3">
        <v>0</v>
      </c>
      <c r="BO83" s="3">
        <v>0</v>
      </c>
      <c r="BP83" s="3"/>
      <c r="BQ83" s="3">
        <v>0</v>
      </c>
      <c r="BR83" s="32">
        <f t="shared" si="57"/>
        <v>0</v>
      </c>
      <c r="BT83" s="3">
        <v>0</v>
      </c>
      <c r="BV83" s="3">
        <v>0</v>
      </c>
      <c r="BW83" s="34">
        <v>0</v>
      </c>
      <c r="BX83" s="3">
        <v>0</v>
      </c>
      <c r="BY83" s="32">
        <f t="shared" si="59"/>
        <v>0</v>
      </c>
      <c r="CA83" s="3">
        <v>0</v>
      </c>
      <c r="CC83" s="3">
        <v>0</v>
      </c>
      <c r="CD83" s="3"/>
      <c r="CE83" s="3">
        <v>0</v>
      </c>
      <c r="CF83" s="32">
        <f t="shared" si="61"/>
        <v>0</v>
      </c>
      <c r="CH83" s="3">
        <v>0</v>
      </c>
      <c r="CJ83" s="3">
        <f>+D83+K83+R83+Y83+AF83+AM83+AT83+BA83+BH83+BO83+BV83+CC83</f>
        <v>0</v>
      </c>
      <c r="CK83" s="3">
        <f>+E83+L83+S83+Z83+AG83+AN83+AU83+BB83+BI83+BP83</f>
        <v>0</v>
      </c>
      <c r="CL83" s="3">
        <v>0</v>
      </c>
      <c r="CM83" s="32">
        <f t="shared" si="64"/>
        <v>0</v>
      </c>
      <c r="CO83" s="3">
        <f>+I83+P83+W83+AD83+AK83+AR83</f>
        <v>0</v>
      </c>
      <c r="CQ83" s="3">
        <f t="shared" si="72"/>
        <v>0</v>
      </c>
      <c r="CR83" s="3">
        <f t="shared" si="72"/>
        <v>0</v>
      </c>
      <c r="CS83" s="3">
        <v>0</v>
      </c>
      <c r="CT83" s="32">
        <f t="shared" si="68"/>
        <v>0</v>
      </c>
      <c r="CV83" s="3">
        <f t="shared" si="73"/>
        <v>0</v>
      </c>
      <c r="CX83" s="3">
        <f>BO83+BV83+CC83</f>
        <v>0</v>
      </c>
      <c r="CY83" s="3">
        <f>BO83+BV83+CC83</f>
        <v>0</v>
      </c>
      <c r="CZ83" s="3">
        <f>CY83*(1+($CY$14))</f>
        <v>0</v>
      </c>
      <c r="DA83" s="3">
        <f>+CZ83+CR83</f>
        <v>0</v>
      </c>
    </row>
    <row r="84" spans="1:105" s="31" customFormat="1" ht="16.5" customHeight="1" x14ac:dyDescent="0.3">
      <c r="A84" s="47"/>
      <c r="B84" s="48" t="s">
        <v>67</v>
      </c>
      <c r="D84" s="53">
        <f>D81+D63+D82+D83</f>
        <v>149025698.13</v>
      </c>
      <c r="E84" s="53">
        <f>E81+E63+E82+E83</f>
        <v>183207703.21000001</v>
      </c>
      <c r="F84" s="11">
        <f>E84-D84</f>
        <v>34182005.080000013</v>
      </c>
      <c r="G84" s="49">
        <f>IFERROR(E84/D84,0)</f>
        <v>1.2293698704916109</v>
      </c>
      <c r="I84" s="11">
        <f>+I63+I81+I82+I83</f>
        <v>155864772.44</v>
      </c>
      <c r="K84" s="55">
        <f>SUM(K79+K75+K62+K59+K56+K33+K29)</f>
        <v>51160039.210000001</v>
      </c>
      <c r="L84" s="54">
        <f>L81+L63+L82+L83</f>
        <v>79509731.00999999</v>
      </c>
      <c r="M84" s="11">
        <f t="shared" si="40"/>
        <v>28349691.79999999</v>
      </c>
      <c r="N84" s="49">
        <f t="shared" si="41"/>
        <v>1.554137413453323</v>
      </c>
      <c r="P84" s="11">
        <f>+P63+P81+P82+P83</f>
        <v>74733391.030000001</v>
      </c>
      <c r="R84" s="11">
        <f>SUM(R79+R75+R62+R59+R56+R33+R29)</f>
        <v>43836276.780000001</v>
      </c>
      <c r="S84" s="11">
        <f>SUM(S80+S79+S75+S62+S59+S56+S33+S29)</f>
        <v>76327814.070000008</v>
      </c>
      <c r="T84" s="11">
        <f>S84-R84</f>
        <v>32491537.290000007</v>
      </c>
      <c r="U84" s="49">
        <f t="shared" si="43"/>
        <v>1.7412020289283339</v>
      </c>
      <c r="W84" s="11">
        <f>+W63+W81+W82+W83</f>
        <v>112458319.75</v>
      </c>
      <c r="Y84" s="53">
        <f>SUM(Y79+Y75+Y62+Y59+Y56+Y29+Y33)</f>
        <v>49059432.170000002</v>
      </c>
      <c r="Z84" s="54">
        <f>Z81+Z63+Z82+Z83</f>
        <v>87541486.810000002</v>
      </c>
      <c r="AA84" s="11">
        <f>Z84-Y84</f>
        <v>38482054.640000001</v>
      </c>
      <c r="AB84" s="49">
        <f t="shared" si="45"/>
        <v>1.7843966580504349</v>
      </c>
      <c r="AD84" s="11">
        <f>+AD63+AD81+AD82+AD83</f>
        <v>81060606.159999996</v>
      </c>
      <c r="AF84" s="56">
        <f>AF79+AF75+AF62+AF59+AF56+AF29</f>
        <v>45065181.590000004</v>
      </c>
      <c r="AG84" s="54">
        <f>AG81+AG63+AG82+AG83</f>
        <v>73841200.810000002</v>
      </c>
      <c r="AH84" s="11">
        <f>AG84-AF84</f>
        <v>28776019.219999999</v>
      </c>
      <c r="AI84" s="49">
        <f t="shared" si="47"/>
        <v>1.6385421783451866</v>
      </c>
      <c r="AK84" s="11">
        <f>+AK63+AK81+AK82+AK83</f>
        <v>80660982</v>
      </c>
      <c r="AM84" s="56">
        <f>AM79+AM75+AM62+AM59+AM56+AM33+AM29</f>
        <v>44583703.289999992</v>
      </c>
      <c r="AN84" s="54">
        <f>AN81+AN63+AN82+AN83</f>
        <v>91093811.530000001</v>
      </c>
      <c r="AO84" s="11">
        <f>AN84-AM84</f>
        <v>46510108.24000001</v>
      </c>
      <c r="AP84" s="49">
        <f t="shared" si="49"/>
        <v>2.0432087244406212</v>
      </c>
      <c r="AR84" s="11">
        <f>+AR63+AR81+AR82+AR83</f>
        <v>69676755.590000004</v>
      </c>
      <c r="AT84" s="11">
        <f>+AT63+AT81+AT82+AT83</f>
        <v>47156217.960000001</v>
      </c>
      <c r="AU84" s="54">
        <f>AU81+AU63+AU82+AU83</f>
        <v>91505810.379999995</v>
      </c>
      <c r="AV84" s="11">
        <f>AU84-AT84</f>
        <v>44349592.419999994</v>
      </c>
      <c r="AW84" s="49">
        <f t="shared" si="51"/>
        <v>1.9404823868109884</v>
      </c>
      <c r="AY84" s="11">
        <f>+AY63+AY81+AY82+AY83</f>
        <v>73413417.760000005</v>
      </c>
      <c r="BA84" s="11">
        <f>+BA63+BA81+BA82+BA83</f>
        <v>47364217.590000004</v>
      </c>
      <c r="BB84" s="54">
        <f>BB81+BB63+BB82+BB83</f>
        <v>70046594.879999995</v>
      </c>
      <c r="BC84" s="11">
        <f>BB84-BA84</f>
        <v>22682377.289999992</v>
      </c>
      <c r="BD84" s="49">
        <f t="shared" si="53"/>
        <v>1.4788926840583749</v>
      </c>
      <c r="BF84" s="11">
        <f>+BF63+BF81+BF82+BF83</f>
        <v>110034684.26000001</v>
      </c>
      <c r="BH84" s="11">
        <f>+BH63+BH81+BH82+BH83</f>
        <v>45180940.489999995</v>
      </c>
      <c r="BI84" s="54">
        <f>BI81+BI63+BI82+BI83</f>
        <v>87202868.289999992</v>
      </c>
      <c r="BJ84" s="11">
        <f>BI84-BH84</f>
        <v>42021927.799999997</v>
      </c>
      <c r="BK84" s="49">
        <f t="shared" si="55"/>
        <v>1.9300808558710905</v>
      </c>
      <c r="BM84" s="11">
        <f>+BM63+BM81+BM82+BM83</f>
        <v>91093933.620000005</v>
      </c>
      <c r="BO84" s="11">
        <f>+BO63+BO81+BO82+BO83</f>
        <v>43588097.480000004</v>
      </c>
      <c r="BP84" s="54">
        <f>BP81+BP63+BP82+BP83</f>
        <v>85510187.129999995</v>
      </c>
      <c r="BQ84" s="11">
        <f>BP84-BO84</f>
        <v>41922089.649999991</v>
      </c>
      <c r="BR84" s="49">
        <f t="shared" si="57"/>
        <v>1.9617783769809076</v>
      </c>
      <c r="BT84" s="11">
        <f>+BT63+BT81+BT82+BT83</f>
        <v>73185579.090000004</v>
      </c>
      <c r="BV84" s="54">
        <f>+BV63+BV81+BV82+BV83</f>
        <v>45091368.990000002</v>
      </c>
      <c r="BW84" s="50">
        <f>+BW63+BW81+BW82+BW83</f>
        <v>101457657.83000001</v>
      </c>
      <c r="BX84" s="11">
        <f>BW84-BV84</f>
        <v>56366288.840000011</v>
      </c>
      <c r="BY84" s="49">
        <f t="shared" si="59"/>
        <v>2.2500460753919551</v>
      </c>
      <c r="CA84" s="11">
        <f>+CA63+CA81+CA82+CA83</f>
        <v>67663165.710000008</v>
      </c>
      <c r="CC84" s="11">
        <f>+CC63+CC81+CC82+CC83</f>
        <v>43404126.700000003</v>
      </c>
      <c r="CD84" s="11">
        <f>+CD63+CD81+CD82+CD83</f>
        <v>143209388.78</v>
      </c>
      <c r="CE84" s="11">
        <f>CD84-CC84</f>
        <v>99805262.079999998</v>
      </c>
      <c r="CF84" s="49">
        <f t="shared" si="61"/>
        <v>3.2994417735860124</v>
      </c>
      <c r="CH84" s="11">
        <f>+CH63+CH81+CH82+CH83</f>
        <v>80710396.650000006</v>
      </c>
      <c r="CJ84" s="11">
        <f>+D84+K84+R84+Y84+AF84+AM84+AT84+BA84+BH84+BO84+BV84+CC84</f>
        <v>654515300.38</v>
      </c>
      <c r="CK84" s="54">
        <f>CK81+CK63+CK82+CK83</f>
        <v>1170454254.73</v>
      </c>
      <c r="CL84" s="11">
        <f>CK84-CJ84</f>
        <v>515938954.35000002</v>
      </c>
      <c r="CM84" s="49">
        <f t="shared" si="64"/>
        <v>1.7882763841432814</v>
      </c>
      <c r="CO84" s="11">
        <f>CH84+CA84+BT84+BM84+BF84+AY84+AR84+AK84+AD84+W84+P84+I84</f>
        <v>1070556004.0599999</v>
      </c>
      <c r="CQ84" s="11">
        <f t="shared" si="72"/>
        <v>654515300.38</v>
      </c>
      <c r="CR84" s="54">
        <f>CR81+CR63+CR82+CR83</f>
        <v>1170454254.73</v>
      </c>
      <c r="CS84" s="11">
        <f>CR84-CQ84</f>
        <v>515938954.35000002</v>
      </c>
      <c r="CT84" s="49">
        <f t="shared" si="68"/>
        <v>1.7882763841432814</v>
      </c>
      <c r="CV84" s="11">
        <f t="shared" si="73"/>
        <v>1070556004.0600001</v>
      </c>
      <c r="CX84" s="11">
        <f>BO84+BV84+CC84</f>
        <v>132083593.17</v>
      </c>
      <c r="CY84" s="11">
        <f>BO84+BV84+CC84</f>
        <v>132083593.17</v>
      </c>
      <c r="CZ84" s="11">
        <f>+CZ63+CZ81</f>
        <v>171432572.9955</v>
      </c>
      <c r="DA84" s="11">
        <f>+CZ84+CR84</f>
        <v>1341886827.7255001</v>
      </c>
    </row>
    <row r="85" spans="1:105" x14ac:dyDescent="0.3">
      <c r="S85" s="57"/>
      <c r="CK85" s="58"/>
      <c r="CX85" s="58"/>
    </row>
    <row r="86" spans="1:105" ht="12.75" hidden="1" customHeight="1" x14ac:dyDescent="0.3">
      <c r="D86" s="59">
        <v>0.36</v>
      </c>
      <c r="E86" s="59">
        <v>0.36</v>
      </c>
      <c r="F86" s="59">
        <v>0.36</v>
      </c>
      <c r="G86" s="59">
        <v>0.36</v>
      </c>
      <c r="I86" s="59">
        <v>0.34</v>
      </c>
      <c r="K86" s="59">
        <v>0.34</v>
      </c>
      <c r="L86" s="59"/>
      <c r="M86" s="59"/>
      <c r="N86" s="59"/>
      <c r="P86" s="59">
        <v>0.34</v>
      </c>
      <c r="R86" s="59">
        <v>0.38</v>
      </c>
      <c r="S86" s="60"/>
      <c r="T86" s="59"/>
      <c r="U86" s="59"/>
      <c r="W86" s="59">
        <v>0.34</v>
      </c>
      <c r="Y86" s="59">
        <v>0.36</v>
      </c>
      <c r="Z86" s="59"/>
      <c r="AA86" s="59"/>
      <c r="AB86" s="59"/>
      <c r="AD86" s="59">
        <v>0.34</v>
      </c>
      <c r="AF86" s="59">
        <v>0.35</v>
      </c>
      <c r="AG86" s="59"/>
      <c r="AH86" s="59"/>
      <c r="AI86" s="59"/>
      <c r="AK86" s="59">
        <v>0.34</v>
      </c>
      <c r="AM86" s="59">
        <v>0.32</v>
      </c>
      <c r="AN86" s="59"/>
      <c r="AO86" s="59"/>
      <c r="AP86" s="59"/>
      <c r="AR86" s="59">
        <v>0.34</v>
      </c>
      <c r="AT86" s="59">
        <v>0.38</v>
      </c>
      <c r="AU86" s="59"/>
      <c r="AV86" s="59"/>
      <c r="AW86" s="59"/>
      <c r="AY86" s="59">
        <v>0.34</v>
      </c>
      <c r="BA86" s="59">
        <v>0.35</v>
      </c>
      <c r="BB86" s="59"/>
      <c r="BC86" s="59"/>
      <c r="BD86" s="59"/>
      <c r="BF86" s="59">
        <v>0.34</v>
      </c>
      <c r="BH86" s="59">
        <v>0.37</v>
      </c>
      <c r="BI86" s="59"/>
      <c r="BJ86" s="59"/>
      <c r="BK86" s="59"/>
      <c r="BM86" s="59">
        <v>0.34</v>
      </c>
      <c r="BO86" s="59">
        <v>0.38</v>
      </c>
      <c r="BP86" s="59"/>
      <c r="BQ86" s="59"/>
      <c r="BR86" s="59"/>
      <c r="BT86" s="59">
        <v>0.34</v>
      </c>
      <c r="BV86" s="59">
        <v>0.34</v>
      </c>
      <c r="BW86" s="59"/>
      <c r="BX86" s="59"/>
      <c r="BY86" s="59"/>
      <c r="CA86" s="59">
        <v>0.34</v>
      </c>
      <c r="CC86" s="59">
        <v>0.37</v>
      </c>
      <c r="CD86" s="59"/>
      <c r="CE86" s="59"/>
      <c r="CF86" s="59"/>
      <c r="CH86" s="59">
        <v>0.34</v>
      </c>
      <c r="CK86" s="59"/>
      <c r="CL86" s="59"/>
      <c r="CM86" s="59"/>
      <c r="CO86" s="59">
        <v>0.34</v>
      </c>
      <c r="CR86" s="59"/>
      <c r="CS86" s="59"/>
      <c r="CT86" s="59"/>
      <c r="CV86" s="59">
        <v>0.34</v>
      </c>
      <c r="CX86" s="59"/>
      <c r="CY86" s="59"/>
      <c r="CZ86" s="59"/>
      <c r="DA86" s="59"/>
    </row>
    <row r="87" spans="1:105" s="31" customFormat="1" ht="16.5" hidden="1" customHeight="1" x14ac:dyDescent="0.3">
      <c r="A87" s="47"/>
      <c r="B87" s="48" t="s">
        <v>68</v>
      </c>
      <c r="D87" s="56">
        <f>D86*D63</f>
        <v>44558262.046800002</v>
      </c>
      <c r="E87" s="56">
        <f>E86*E63</f>
        <v>54337483.155600004</v>
      </c>
      <c r="F87" s="56">
        <f>F86*F63</f>
        <v>9779221.1087999996</v>
      </c>
      <c r="G87" s="56">
        <f>G86*G63</f>
        <v>0.43900935623275344</v>
      </c>
      <c r="I87" s="11">
        <f>I86*I63</f>
        <v>41253022.1778</v>
      </c>
      <c r="K87" s="11">
        <f>K86*K63</f>
        <v>7916821.5314000007</v>
      </c>
      <c r="L87" s="61"/>
      <c r="M87" s="61"/>
      <c r="N87" s="61"/>
      <c r="P87" s="11">
        <f>P86*P63</f>
        <v>12296863.0348</v>
      </c>
      <c r="R87" s="11">
        <f>R86*R63</f>
        <v>7738218.0764000006</v>
      </c>
      <c r="S87" s="62"/>
      <c r="T87" s="61"/>
      <c r="U87" s="61"/>
      <c r="W87" s="11">
        <f>W86*W63</f>
        <v>11887845.754800001</v>
      </c>
      <c r="Y87" s="11">
        <f>Y86*Y63</f>
        <v>7516433.2212000005</v>
      </c>
      <c r="Z87" s="61"/>
      <c r="AA87" s="61"/>
      <c r="AB87" s="61"/>
      <c r="AD87" s="11">
        <f>AD86*AD63</f>
        <v>14014203.871200001</v>
      </c>
      <c r="AF87" s="11">
        <f>AF86*AF63</f>
        <v>6895799.6064999998</v>
      </c>
      <c r="AG87" s="61"/>
      <c r="AH87" s="61"/>
      <c r="AI87" s="61"/>
      <c r="AK87" s="11">
        <f>AK86*AK63</f>
        <v>16165910.796400003</v>
      </c>
      <c r="AM87" s="11">
        <f>AM86*AM63</f>
        <v>6845298.0127999987</v>
      </c>
      <c r="AN87" s="61"/>
      <c r="AO87" s="61"/>
      <c r="AP87" s="61"/>
      <c r="AR87" s="11">
        <f>AR86*AR63</f>
        <v>13275120.925400002</v>
      </c>
      <c r="AT87" s="11">
        <f>AT86*AT63</f>
        <v>8614650.1447999999</v>
      </c>
      <c r="AU87" s="61"/>
      <c r="AV87" s="61"/>
      <c r="AW87" s="61"/>
      <c r="AY87" s="11">
        <f>AY86*AY63</f>
        <v>13282377.518200003</v>
      </c>
      <c r="BA87" s="11">
        <f>BA86*BA63</f>
        <v>7885613.2564999992</v>
      </c>
      <c r="BB87" s="61"/>
      <c r="BC87" s="61"/>
      <c r="BD87" s="61"/>
      <c r="BF87" s="11">
        <f>BF86*BF63</f>
        <v>17239982.125200003</v>
      </c>
      <c r="BH87" s="11">
        <f>BH86*BH63</f>
        <v>7458554.531299999</v>
      </c>
      <c r="BI87" s="61"/>
      <c r="BJ87" s="61"/>
      <c r="BK87" s="61"/>
      <c r="BM87" s="11">
        <f>BM86*BM63</f>
        <v>11999820.729200002</v>
      </c>
      <c r="BO87" s="11">
        <f>BO86*BO63</f>
        <v>7662497.6424000002</v>
      </c>
      <c r="BP87" s="61"/>
      <c r="BQ87" s="61"/>
      <c r="BR87" s="61"/>
      <c r="BT87" s="11">
        <f>BT86*BT63</f>
        <v>13466372.771600002</v>
      </c>
      <c r="BV87" s="11">
        <f>BV86*BV63</f>
        <v>7514007.1366000008</v>
      </c>
      <c r="BW87" s="61"/>
      <c r="BX87" s="61"/>
      <c r="BY87" s="61"/>
      <c r="CA87" s="11">
        <f>CA86*CA63</f>
        <v>12181139.404000001</v>
      </c>
      <c r="CC87" s="11">
        <f>CC86*CC63</f>
        <v>7422956.1689999998</v>
      </c>
      <c r="CD87" s="61"/>
      <c r="CE87" s="61"/>
      <c r="CF87" s="61"/>
      <c r="CH87" s="11">
        <f>CH86*CH63</f>
        <v>18083857.599800002</v>
      </c>
      <c r="CJ87" s="11" t="e">
        <f>SUM(#REF!)</f>
        <v>#REF!</v>
      </c>
      <c r="CK87" s="61"/>
      <c r="CL87" s="61"/>
      <c r="CM87" s="61"/>
      <c r="CO87" s="11">
        <f>CO86*CO63</f>
        <v>195146516.70840001</v>
      </c>
      <c r="CQ87" s="11">
        <f>SUM(D87:CC87)</f>
        <v>369208475.18770945</v>
      </c>
      <c r="CR87" s="61"/>
      <c r="CS87" s="61"/>
      <c r="CT87" s="61"/>
      <c r="CV87" s="11">
        <f>CV86*CV63</f>
        <v>195146516.70840004</v>
      </c>
      <c r="CX87" s="11"/>
      <c r="CY87" s="11"/>
      <c r="CZ87" s="11"/>
      <c r="DA87" s="11"/>
    </row>
    <row r="88" spans="1:105" ht="12.75" hidden="1" customHeight="1" x14ac:dyDescent="0.3">
      <c r="S88" s="57"/>
    </row>
    <row r="89" spans="1:105" s="64" customFormat="1" ht="12.75" hidden="1" customHeight="1" x14ac:dyDescent="0.3">
      <c r="A89" s="63"/>
      <c r="D89" s="64">
        <v>121332418.16999999</v>
      </c>
      <c r="E89" s="64">
        <v>121332418.16999999</v>
      </c>
      <c r="F89" s="64">
        <v>121332418.16999999</v>
      </c>
      <c r="G89" s="64">
        <v>121332418.16999999</v>
      </c>
      <c r="S89" s="65"/>
    </row>
    <row r="90" spans="1:105" s="31" customFormat="1" ht="16.5" hidden="1" customHeight="1" x14ac:dyDescent="0.3">
      <c r="A90" s="47"/>
      <c r="B90" s="48" t="s">
        <v>69</v>
      </c>
      <c r="D90" s="11">
        <f>D89-D63</f>
        <v>-2440531.9600000232</v>
      </c>
      <c r="E90" s="11">
        <f>E89-E63</f>
        <v>-29605035.040000021</v>
      </c>
      <c r="F90" s="11">
        <f>F89-F63</f>
        <v>94167915.089999989</v>
      </c>
      <c r="G90" s="11">
        <f>G89-G63</f>
        <v>121332416.95052955</v>
      </c>
      <c r="I90" s="11">
        <f>+I68+I86+I87+I88</f>
        <v>41961233.517800003</v>
      </c>
      <c r="K90" s="11">
        <f>+K68+K86+K87+K88</f>
        <v>8521027.8714000005</v>
      </c>
      <c r="L90" s="61"/>
      <c r="M90" s="61"/>
      <c r="N90" s="61"/>
      <c r="P90" s="11">
        <f>+P68+P86+P87+P88</f>
        <v>12831178.3748</v>
      </c>
      <c r="R90" s="11">
        <f>+R68+R86+R87+R88</f>
        <v>8342424.4564000005</v>
      </c>
      <c r="S90" s="62"/>
      <c r="T90" s="61"/>
      <c r="U90" s="61"/>
      <c r="W90" s="11">
        <f>+W68+W86+W87+W88</f>
        <v>12422161.094800001</v>
      </c>
      <c r="Y90" s="11">
        <f>+Y68+Y86+Y87+Y88</f>
        <v>8708016.5811999999</v>
      </c>
      <c r="Z90" s="61"/>
      <c r="AA90" s="61"/>
      <c r="AB90" s="61"/>
      <c r="AD90" s="11">
        <f>+AD68+AD86+AD87+AD88</f>
        <v>15067728.211200001</v>
      </c>
      <c r="AF90" s="11">
        <f>+AF68+AF86+AF87+AF88</f>
        <v>7478369.9564999994</v>
      </c>
      <c r="AG90" s="61"/>
      <c r="AH90" s="61"/>
      <c r="AI90" s="61"/>
      <c r="AK90" s="11">
        <f>+AK68+AK86+AK87+AK88</f>
        <v>16680566.136400003</v>
      </c>
      <c r="AM90" s="11">
        <f>+AM68+AM86+AM87+AM88</f>
        <v>7449504.332799999</v>
      </c>
      <c r="AN90" s="61"/>
      <c r="AO90" s="61"/>
      <c r="AP90" s="61"/>
      <c r="AR90" s="11">
        <f>+AR68+AR86+AR87+AR88</f>
        <v>13809436.265400002</v>
      </c>
      <c r="AT90" s="11">
        <f>+AT68+AT86+AT87+AT88</f>
        <v>9218856.5248000007</v>
      </c>
      <c r="AU90" s="61"/>
      <c r="AV90" s="61"/>
      <c r="AW90" s="61"/>
      <c r="AY90" s="11">
        <f>+AY68+AY86+AY87+AY88</f>
        <v>13816692.858200002</v>
      </c>
      <c r="BA90" s="11">
        <f>+BA68+BA86+BA87+BA88</f>
        <v>8489819.6064999998</v>
      </c>
      <c r="BB90" s="61"/>
      <c r="BC90" s="61"/>
      <c r="BD90" s="61"/>
      <c r="BF90" s="11">
        <f>+BF68+BF86+BF87+BF88</f>
        <v>17774297.465200003</v>
      </c>
      <c r="BH90" s="11">
        <f>+BH68+BH86+BH87+BH88</f>
        <v>8062760.9012999991</v>
      </c>
      <c r="BI90" s="61"/>
      <c r="BJ90" s="61"/>
      <c r="BK90" s="61"/>
      <c r="BM90" s="11">
        <f>+BM68+BM86+BM87+BM88</f>
        <v>12477683.069200002</v>
      </c>
      <c r="BO90" s="11">
        <f>+BO68+BO86+BO87+BO88</f>
        <v>8266704.0224000001</v>
      </c>
      <c r="BP90" s="61"/>
      <c r="BQ90" s="61"/>
      <c r="BR90" s="61"/>
      <c r="BT90" s="11">
        <f>+BT68+BT86+BT87+BT88</f>
        <v>14057141.111600002</v>
      </c>
      <c r="BV90" s="11">
        <f>+BV68+BV86+BV87+BV88</f>
        <v>8118213.4766000006</v>
      </c>
      <c r="BW90" s="61"/>
      <c r="BX90" s="61"/>
      <c r="BY90" s="61"/>
      <c r="CA90" s="11">
        <f>+CA68+CA86+CA87+CA88</f>
        <v>12715454.744000001</v>
      </c>
      <c r="CC90" s="11">
        <f>+CC68+CC86+CC87+CC88</f>
        <v>8027157.5389999999</v>
      </c>
      <c r="CD90" s="61"/>
      <c r="CE90" s="61"/>
      <c r="CF90" s="61"/>
      <c r="CH90" s="11">
        <f>+CH68+CH86+CH87+CH88</f>
        <v>18618172.939800002</v>
      </c>
      <c r="CJ90" s="11" t="e">
        <f>SUM(#REF!)</f>
        <v>#REF!</v>
      </c>
      <c r="CK90" s="61"/>
      <c r="CL90" s="61"/>
      <c r="CM90" s="61"/>
      <c r="CO90" s="11">
        <f>+CO68+CO86+CO87+CO88</f>
        <v>202231742.04840001</v>
      </c>
      <c r="CQ90" s="11">
        <f>SUM(D90:CC90)</f>
        <v>457751193.15802938</v>
      </c>
      <c r="CR90" s="61"/>
      <c r="CS90" s="61"/>
      <c r="CT90" s="61"/>
      <c r="CV90" s="11">
        <f>+CV68+CV86+CV87+CV88</f>
        <v>202231742.04840004</v>
      </c>
      <c r="CX90" s="11"/>
      <c r="CY90" s="11"/>
      <c r="CZ90" s="11"/>
      <c r="DA90" s="11"/>
    </row>
    <row r="91" spans="1:105" ht="12.75" hidden="1" customHeight="1" x14ac:dyDescent="0.3">
      <c r="D91" s="66">
        <f>D89/D63-1</f>
        <v>-1.9717813604965495E-2</v>
      </c>
      <c r="E91" s="66">
        <f>E89/E63-1</f>
        <v>-0.19614107970147343</v>
      </c>
      <c r="F91" s="66">
        <f>F89/F63-1</f>
        <v>3.4665797056060113</v>
      </c>
      <c r="G91" s="66">
        <f>G89/G63-1</f>
        <v>99495989.053665191</v>
      </c>
      <c r="S91" s="57"/>
    </row>
    <row r="92" spans="1:105" x14ac:dyDescent="0.3">
      <c r="E92" s="21"/>
      <c r="S92" s="67"/>
      <c r="AG92" s="13">
        <f>79010434.76-5169233.95</f>
        <v>73841200.810000002</v>
      </c>
      <c r="BW92" s="34"/>
      <c r="CJ92" s="68"/>
      <c r="CK92" s="69">
        <f>CK81+CK63</f>
        <v>1170454254.73</v>
      </c>
      <c r="CR92" s="58"/>
    </row>
    <row r="93" spans="1:105" x14ac:dyDescent="0.3">
      <c r="E93" s="21"/>
      <c r="S93" s="70"/>
      <c r="Z93" s="13">
        <f>128702770.91-41161284.1</f>
        <v>87541486.810000002</v>
      </c>
      <c r="BI93" s="21"/>
      <c r="BP93" s="21"/>
      <c r="BQ93" s="21"/>
      <c r="BW93" s="58"/>
      <c r="CJ93" s="21"/>
      <c r="CK93" s="69"/>
      <c r="CR93" s="21"/>
      <c r="CV93" s="58"/>
    </row>
    <row r="94" spans="1:105" x14ac:dyDescent="0.3">
      <c r="E94" s="21"/>
      <c r="S94" s="70"/>
      <c r="AU94" s="71"/>
      <c r="BP94" s="21"/>
      <c r="BQ94" s="21"/>
      <c r="CJ94" s="21"/>
      <c r="CK94" s="69"/>
    </row>
    <row r="95" spans="1:105" x14ac:dyDescent="0.3">
      <c r="D95" s="58"/>
      <c r="E95" s="21"/>
      <c r="F95" s="58"/>
      <c r="G95" s="58"/>
      <c r="I95" s="58"/>
      <c r="K95" s="58"/>
      <c r="L95" s="58"/>
      <c r="M95" s="58"/>
      <c r="N95" s="58"/>
      <c r="P95" s="58"/>
      <c r="R95" s="58"/>
      <c r="S95" s="72"/>
      <c r="T95" s="58"/>
      <c r="U95" s="58"/>
      <c r="W95" s="58"/>
      <c r="Y95" s="58"/>
      <c r="Z95" s="58"/>
      <c r="AA95" s="58"/>
      <c r="AB95" s="58"/>
      <c r="AD95" s="58"/>
      <c r="AF95" s="58"/>
      <c r="AG95" s="58"/>
      <c r="AH95" s="58"/>
      <c r="AI95" s="58"/>
      <c r="AK95" s="58"/>
      <c r="AM95" s="58"/>
      <c r="AN95" s="58"/>
      <c r="AO95" s="58"/>
      <c r="AP95" s="58"/>
      <c r="AR95" s="58"/>
      <c r="AT95" s="58"/>
      <c r="AU95" s="58"/>
      <c r="AV95" s="58"/>
      <c r="AW95" s="58"/>
      <c r="AY95" s="58"/>
      <c r="BA95" s="58"/>
      <c r="BB95" s="58"/>
      <c r="BC95" s="58"/>
      <c r="BD95" s="58"/>
      <c r="BF95" s="58"/>
      <c r="BH95" s="58"/>
      <c r="BI95" s="58"/>
      <c r="BJ95" s="58"/>
      <c r="BK95" s="58"/>
      <c r="BM95" s="58"/>
      <c r="BO95" s="58"/>
      <c r="BP95" s="58"/>
      <c r="BQ95" s="58"/>
      <c r="BR95" s="58"/>
      <c r="BT95" s="58"/>
      <c r="BV95" s="58"/>
      <c r="BW95" s="58"/>
      <c r="BX95" s="58"/>
      <c r="BY95" s="58"/>
      <c r="CA95" s="58"/>
      <c r="CC95" s="58"/>
      <c r="CD95" s="58"/>
      <c r="CE95" s="58"/>
      <c r="CF95" s="58"/>
      <c r="CH95" s="58"/>
      <c r="CJ95" s="58"/>
      <c r="CK95" s="69"/>
      <c r="CL95" s="58"/>
      <c r="CM95" s="58"/>
      <c r="CO95" s="58"/>
      <c r="CQ95" s="58"/>
      <c r="CR95" s="58"/>
      <c r="CS95" s="58"/>
      <c r="CT95" s="58"/>
      <c r="CV95" s="71"/>
      <c r="CX95" s="58"/>
      <c r="CY95" s="58"/>
      <c r="CZ95" s="58"/>
      <c r="DA95" s="58"/>
    </row>
    <row r="96" spans="1:105" x14ac:dyDescent="0.3">
      <c r="E96" s="58"/>
      <c r="S96" s="73"/>
      <c r="CJ96" s="21"/>
      <c r="CK96" s="69"/>
      <c r="CR96" s="21"/>
    </row>
    <row r="97" spans="68:96" x14ac:dyDescent="0.3">
      <c r="BP97" s="21"/>
      <c r="BQ97" s="21"/>
      <c r="CJ97" s="21"/>
      <c r="CR97" s="58"/>
    </row>
    <row r="99" spans="68:96" x14ac:dyDescent="0.3">
      <c r="BQ99" s="21"/>
      <c r="CJ99" s="21"/>
    </row>
    <row r="100" spans="68:96" x14ac:dyDescent="0.3">
      <c r="CR100" s="58"/>
    </row>
    <row r="101" spans="68:96" x14ac:dyDescent="0.3">
      <c r="CJ101" s="71"/>
      <c r="CR101" s="58"/>
    </row>
    <row r="102" spans="68:96" x14ac:dyDescent="0.3">
      <c r="BP102" s="21"/>
    </row>
  </sheetData>
  <mergeCells count="14">
    <mergeCell ref="BH12:BK12"/>
    <mergeCell ref="CJ12:CM12"/>
    <mergeCell ref="CQ12:CT12"/>
    <mergeCell ref="CC12:CF12"/>
    <mergeCell ref="BV12:BY12"/>
    <mergeCell ref="BO12:BR12"/>
    <mergeCell ref="BA12:BD12"/>
    <mergeCell ref="AT12:AW12"/>
    <mergeCell ref="AM12:AP12"/>
    <mergeCell ref="AF12:AI12"/>
    <mergeCell ref="D12:G12"/>
    <mergeCell ref="K12:N12"/>
    <mergeCell ref="R12:U12"/>
    <mergeCell ref="Y12:AB12"/>
  </mergeCells>
  <pageMargins left="0.7" right="0.7" top="0.75" bottom="0.75" header="0.3" footer="0.3"/>
  <pageSetup orientation="portrait" r:id="rId1"/>
  <ignoredErrors>
    <ignoredError sqref="CD22 CO24 CO32 CO48 CO73 CK79 L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A86"/>
  <sheetViews>
    <sheetView showGridLines="0" zoomScale="110" zoomScaleNormal="110" workbookViewId="0">
      <pane xSplit="3" ySplit="3" topLeftCell="BT4" activePane="bottomRight" state="frozen"/>
      <selection activeCell="A8" sqref="A8"/>
      <selection pane="topRight" activeCell="D8" sqref="D8"/>
      <selection pane="bottomLeft" activeCell="A11" sqref="A11"/>
      <selection pane="bottomRight" activeCell="A34" sqref="A34:XFD34"/>
    </sheetView>
  </sheetViews>
  <sheetFormatPr baseColWidth="10" defaultColWidth="11.44140625" defaultRowHeight="13.8" x14ac:dyDescent="0.3"/>
  <cols>
    <col min="1" max="1" width="5.44140625" style="12" customWidth="1"/>
    <col min="2" max="2" width="76.33203125" style="13" bestFit="1" customWidth="1"/>
    <col min="3" max="3" width="3.33203125" style="13" customWidth="1"/>
    <col min="4" max="7" width="14" style="13" customWidth="1"/>
    <col min="8" max="8" width="3.33203125" style="13" customWidth="1"/>
    <col min="9" max="9" width="11.6640625" style="13" customWidth="1"/>
    <col min="10" max="10" width="4.88671875" style="214" customWidth="1"/>
    <col min="11" max="11" width="13" style="13" customWidth="1"/>
    <col min="12" max="12" width="16.88671875" style="215" customWidth="1"/>
    <col min="13" max="13" width="15.109375" style="13" customWidth="1"/>
    <col min="14" max="14" width="9.5546875" style="13" customWidth="1"/>
    <col min="15" max="15" width="3.44140625" style="13" customWidth="1"/>
    <col min="16" max="16" width="12.88671875" style="13" customWidth="1"/>
    <col min="17" max="17" width="3.33203125" style="13" customWidth="1"/>
    <col min="18" max="18" width="12.88671875" style="13" customWidth="1"/>
    <col min="19" max="19" width="12.88671875" style="21" customWidth="1"/>
    <col min="20" max="21" width="12.88671875" style="13" customWidth="1"/>
    <col min="22" max="22" width="3.33203125" style="13" customWidth="1"/>
    <col min="23" max="23" width="12.88671875" style="13" customWidth="1"/>
    <col min="24" max="24" width="3.33203125" style="13" customWidth="1"/>
    <col min="25" max="25" width="12.88671875" style="13" customWidth="1"/>
    <col min="26" max="26" width="12.88671875" style="215" customWidth="1"/>
    <col min="27" max="28" width="12.88671875" style="13" customWidth="1"/>
    <col min="29" max="29" width="3.33203125" style="13" customWidth="1"/>
    <col min="30" max="30" width="12.88671875" style="13" customWidth="1"/>
    <col min="31" max="31" width="4.33203125" style="13" customWidth="1"/>
    <col min="32" max="32" width="12.88671875" style="13" customWidth="1"/>
    <col min="33" max="33" width="12.88671875" style="21" customWidth="1"/>
    <col min="34" max="35" width="12.88671875" style="13" customWidth="1"/>
    <col min="36" max="36" width="4.109375" style="13" customWidth="1"/>
    <col min="37" max="37" width="12.88671875" style="13" customWidth="1"/>
    <col min="38" max="38" width="4.44140625" style="13" customWidth="1"/>
    <col min="39" max="39" width="12.88671875" style="13" customWidth="1"/>
    <col min="40" max="40" width="12.88671875" style="215" customWidth="1"/>
    <col min="41" max="42" width="12.88671875" style="13" customWidth="1"/>
    <col min="43" max="43" width="3.33203125" style="13" customWidth="1"/>
    <col min="44" max="44" width="12.88671875" style="13" customWidth="1"/>
    <col min="45" max="45" width="3.33203125" style="13" customWidth="1"/>
    <col min="46" max="46" width="13.6640625" style="13" customWidth="1"/>
    <col min="47" max="47" width="12.88671875" style="21" customWidth="1"/>
    <col min="48" max="49" width="12.88671875" style="13" customWidth="1"/>
    <col min="50" max="50" width="3.33203125" style="13" customWidth="1"/>
    <col min="51" max="51" width="12.88671875" style="13" customWidth="1"/>
    <col min="52" max="52" width="6" style="13" customWidth="1"/>
    <col min="53" max="53" width="13.6640625" style="13" customWidth="1"/>
    <col min="54" max="55" width="12.88671875" style="215" customWidth="1"/>
    <col min="56" max="56" width="12.88671875" style="13" customWidth="1"/>
    <col min="57" max="57" width="3.33203125" style="13" customWidth="1"/>
    <col min="58" max="58" width="12.88671875" style="13" customWidth="1"/>
    <col min="59" max="59" width="3.33203125" style="13" customWidth="1"/>
    <col min="60" max="60" width="12.88671875" style="13" customWidth="1"/>
    <col min="61" max="62" width="12.88671875" style="215" customWidth="1"/>
    <col min="63" max="63" width="12.88671875" style="13" customWidth="1"/>
    <col min="64" max="64" width="3.33203125" style="13" customWidth="1"/>
    <col min="65" max="65" width="12.88671875" style="13" customWidth="1"/>
    <col min="66" max="66" width="4" style="13" customWidth="1"/>
    <col min="67" max="70" width="12.88671875" style="13" customWidth="1"/>
    <col min="71" max="71" width="3.33203125" style="13" customWidth="1"/>
    <col min="72" max="72" width="12.88671875" style="13" customWidth="1"/>
    <col min="73" max="73" width="3.33203125" style="13" customWidth="1"/>
    <col min="74" max="77" width="12.88671875" style="13" customWidth="1"/>
    <col min="78" max="78" width="3.33203125" style="13" customWidth="1"/>
    <col min="79" max="79" width="12.88671875" style="13" customWidth="1"/>
    <col min="80" max="80" width="3.33203125" style="13" customWidth="1"/>
    <col min="81" max="84" width="12.88671875" style="13" customWidth="1"/>
    <col min="85" max="85" width="3.33203125" style="13" customWidth="1"/>
    <col min="86" max="86" width="12.88671875" style="13" customWidth="1"/>
    <col min="87" max="87" width="4.6640625" style="13" customWidth="1"/>
    <col min="88" max="88" width="13" style="13" bestFit="1" customWidth="1"/>
    <col min="89" max="91" width="12.88671875" style="13" customWidth="1"/>
    <col min="92" max="92" width="3.33203125" style="13" customWidth="1"/>
    <col min="93" max="93" width="12.88671875" style="13" customWidth="1"/>
    <col min="94" max="94" width="3.33203125" style="13" customWidth="1"/>
    <col min="95" max="95" width="13.6640625" style="13" customWidth="1"/>
    <col min="96" max="96" width="14.44140625" style="13" bestFit="1" customWidth="1"/>
    <col min="97" max="98" width="12.88671875" style="13" customWidth="1"/>
    <col min="99" max="99" width="3.44140625" style="13" customWidth="1"/>
    <col min="100" max="100" width="13.6640625" style="13" bestFit="1" customWidth="1"/>
    <col min="101" max="101" width="11.44140625" style="13"/>
    <col min="102" max="105" width="12.88671875" style="13" hidden="1" customWidth="1"/>
    <col min="106" max="16384" width="11.44140625" style="13"/>
  </cols>
  <sheetData>
    <row r="1" spans="1:105" s="210" customFormat="1" ht="18.75" customHeight="1" x14ac:dyDescent="0.3">
      <c r="A1" s="433" t="s">
        <v>0</v>
      </c>
      <c r="B1" s="433" t="s">
        <v>1</v>
      </c>
      <c r="C1" s="204"/>
      <c r="D1" s="430" t="s">
        <v>70</v>
      </c>
      <c r="E1" s="431"/>
      <c r="F1" s="431"/>
      <c r="G1" s="432"/>
      <c r="H1" s="204"/>
      <c r="I1" s="433">
        <v>2016</v>
      </c>
      <c r="J1" s="204"/>
      <c r="K1" s="430" t="s">
        <v>75</v>
      </c>
      <c r="L1" s="431"/>
      <c r="M1" s="431"/>
      <c r="N1" s="432"/>
      <c r="O1" s="204"/>
      <c r="P1" s="433">
        <v>2016</v>
      </c>
      <c r="Q1" s="204"/>
      <c r="R1" s="430" t="s">
        <v>76</v>
      </c>
      <c r="S1" s="431"/>
      <c r="T1" s="431"/>
      <c r="U1" s="432"/>
      <c r="V1" s="204"/>
      <c r="W1" s="433">
        <v>2016</v>
      </c>
      <c r="X1" s="204"/>
      <c r="Y1" s="430" t="s">
        <v>77</v>
      </c>
      <c r="Z1" s="431"/>
      <c r="AA1" s="431"/>
      <c r="AB1" s="432"/>
      <c r="AC1" s="204"/>
      <c r="AD1" s="433">
        <v>2016</v>
      </c>
      <c r="AE1" s="204"/>
      <c r="AF1" s="430" t="s">
        <v>78</v>
      </c>
      <c r="AG1" s="431"/>
      <c r="AH1" s="431"/>
      <c r="AI1" s="432"/>
      <c r="AJ1" s="204"/>
      <c r="AK1" s="433">
        <v>2016</v>
      </c>
      <c r="AL1" s="204"/>
      <c r="AM1" s="430" t="s">
        <v>79</v>
      </c>
      <c r="AN1" s="431"/>
      <c r="AO1" s="431"/>
      <c r="AP1" s="432"/>
      <c r="AQ1" s="204"/>
      <c r="AR1" s="433">
        <v>2016</v>
      </c>
      <c r="AS1" s="204"/>
      <c r="AT1" s="430" t="s">
        <v>80</v>
      </c>
      <c r="AU1" s="431"/>
      <c r="AV1" s="431"/>
      <c r="AW1" s="432"/>
      <c r="AX1" s="204"/>
      <c r="AY1" s="433">
        <v>2016</v>
      </c>
      <c r="AZ1" s="204"/>
      <c r="BA1" s="430" t="s">
        <v>81</v>
      </c>
      <c r="BB1" s="431"/>
      <c r="BC1" s="431"/>
      <c r="BD1" s="432"/>
      <c r="BE1" s="204"/>
      <c r="BF1" s="433">
        <v>2016</v>
      </c>
      <c r="BG1" s="204"/>
      <c r="BH1" s="430" t="s">
        <v>84</v>
      </c>
      <c r="BI1" s="431"/>
      <c r="BJ1" s="431"/>
      <c r="BK1" s="432"/>
      <c r="BL1" s="204"/>
      <c r="BM1" s="433">
        <v>2016</v>
      </c>
      <c r="BN1" s="204"/>
      <c r="BO1" s="430" t="s">
        <v>85</v>
      </c>
      <c r="BP1" s="431"/>
      <c r="BQ1" s="431"/>
      <c r="BR1" s="432"/>
      <c r="BS1" s="204"/>
      <c r="BT1" s="433">
        <v>2016</v>
      </c>
      <c r="BU1" s="204"/>
      <c r="BV1" s="430" t="s">
        <v>86</v>
      </c>
      <c r="BW1" s="431"/>
      <c r="BX1" s="431"/>
      <c r="BY1" s="432"/>
      <c r="BZ1" s="204"/>
      <c r="CA1" s="433">
        <v>2016</v>
      </c>
      <c r="CB1" s="204"/>
      <c r="CC1" s="430" t="s">
        <v>87</v>
      </c>
      <c r="CD1" s="431"/>
      <c r="CE1" s="431"/>
      <c r="CF1" s="432"/>
      <c r="CG1" s="204"/>
      <c r="CH1" s="433">
        <v>2016</v>
      </c>
      <c r="CI1" s="204"/>
      <c r="CJ1" s="430" t="s">
        <v>89</v>
      </c>
      <c r="CK1" s="431"/>
      <c r="CL1" s="431"/>
      <c r="CM1" s="432"/>
      <c r="CN1" s="204"/>
      <c r="CO1" s="433">
        <v>2016</v>
      </c>
      <c r="CP1" s="204"/>
      <c r="CQ1" s="205" t="s">
        <v>2</v>
      </c>
      <c r="CR1" s="206"/>
      <c r="CS1" s="206"/>
      <c r="CT1" s="206"/>
      <c r="CU1" s="207"/>
      <c r="CV1" s="208">
        <v>2016</v>
      </c>
      <c r="CW1" s="204"/>
      <c r="CX1" s="433" t="s">
        <v>83</v>
      </c>
      <c r="CY1" s="209" t="s">
        <v>83</v>
      </c>
      <c r="CZ1" s="209" t="s">
        <v>88</v>
      </c>
      <c r="DA1" s="209" t="s">
        <v>82</v>
      </c>
    </row>
    <row r="2" spans="1:105" s="210" customFormat="1" x14ac:dyDescent="0.3">
      <c r="A2" s="434"/>
      <c r="B2" s="434"/>
      <c r="C2" s="204"/>
      <c r="D2" s="211" t="s">
        <v>71</v>
      </c>
      <c r="E2" s="211" t="s">
        <v>72</v>
      </c>
      <c r="F2" s="211" t="s">
        <v>73</v>
      </c>
      <c r="G2" s="211" t="s">
        <v>74</v>
      </c>
      <c r="H2" s="204"/>
      <c r="I2" s="434"/>
      <c r="J2" s="204"/>
      <c r="K2" s="211" t="s">
        <v>71</v>
      </c>
      <c r="L2" s="211" t="s">
        <v>72</v>
      </c>
      <c r="M2" s="211" t="s">
        <v>73</v>
      </c>
      <c r="N2" s="211" t="s">
        <v>74</v>
      </c>
      <c r="O2" s="204"/>
      <c r="P2" s="434"/>
      <c r="Q2" s="204"/>
      <c r="R2" s="211" t="s">
        <v>71</v>
      </c>
      <c r="S2" s="211" t="s">
        <v>72</v>
      </c>
      <c r="T2" s="211" t="s">
        <v>73</v>
      </c>
      <c r="U2" s="211" t="s">
        <v>74</v>
      </c>
      <c r="V2" s="204"/>
      <c r="W2" s="434"/>
      <c r="X2" s="204"/>
      <c r="Y2" s="211" t="s">
        <v>71</v>
      </c>
      <c r="Z2" s="211" t="s">
        <v>72</v>
      </c>
      <c r="AA2" s="211" t="s">
        <v>73</v>
      </c>
      <c r="AB2" s="211" t="s">
        <v>74</v>
      </c>
      <c r="AC2" s="204"/>
      <c r="AD2" s="434"/>
      <c r="AE2" s="204"/>
      <c r="AF2" s="211" t="s">
        <v>71</v>
      </c>
      <c r="AG2" s="211" t="s">
        <v>72</v>
      </c>
      <c r="AH2" s="211" t="s">
        <v>73</v>
      </c>
      <c r="AI2" s="211" t="s">
        <v>74</v>
      </c>
      <c r="AJ2" s="204"/>
      <c r="AK2" s="434"/>
      <c r="AL2" s="204"/>
      <c r="AM2" s="211" t="s">
        <v>71</v>
      </c>
      <c r="AN2" s="211" t="s">
        <v>72</v>
      </c>
      <c r="AO2" s="211" t="s">
        <v>73</v>
      </c>
      <c r="AP2" s="211" t="s">
        <v>74</v>
      </c>
      <c r="AQ2" s="204"/>
      <c r="AR2" s="434"/>
      <c r="AS2" s="204"/>
      <c r="AT2" s="211" t="s">
        <v>71</v>
      </c>
      <c r="AU2" s="211" t="s">
        <v>72</v>
      </c>
      <c r="AV2" s="211" t="s">
        <v>73</v>
      </c>
      <c r="AW2" s="211" t="s">
        <v>74</v>
      </c>
      <c r="AX2" s="204"/>
      <c r="AY2" s="434"/>
      <c r="AZ2" s="204"/>
      <c r="BA2" s="211" t="s">
        <v>71</v>
      </c>
      <c r="BB2" s="211" t="s">
        <v>72</v>
      </c>
      <c r="BC2" s="211" t="s">
        <v>73</v>
      </c>
      <c r="BD2" s="211" t="s">
        <v>74</v>
      </c>
      <c r="BE2" s="204"/>
      <c r="BF2" s="434"/>
      <c r="BG2" s="204"/>
      <c r="BH2" s="211" t="s">
        <v>71</v>
      </c>
      <c r="BI2" s="211" t="s">
        <v>72</v>
      </c>
      <c r="BJ2" s="211" t="s">
        <v>73</v>
      </c>
      <c r="BK2" s="211" t="s">
        <v>74</v>
      </c>
      <c r="BL2" s="204"/>
      <c r="BM2" s="434"/>
      <c r="BN2" s="204"/>
      <c r="BO2" s="211" t="s">
        <v>71</v>
      </c>
      <c r="BP2" s="211" t="s">
        <v>72</v>
      </c>
      <c r="BQ2" s="211" t="s">
        <v>73</v>
      </c>
      <c r="BR2" s="211" t="s">
        <v>74</v>
      </c>
      <c r="BS2" s="204"/>
      <c r="BT2" s="434"/>
      <c r="BU2" s="204"/>
      <c r="BV2" s="211" t="s">
        <v>71</v>
      </c>
      <c r="BW2" s="211" t="s">
        <v>72</v>
      </c>
      <c r="BX2" s="211" t="s">
        <v>73</v>
      </c>
      <c r="BY2" s="211" t="s">
        <v>74</v>
      </c>
      <c r="BZ2" s="204"/>
      <c r="CA2" s="434"/>
      <c r="CB2" s="204"/>
      <c r="CC2" s="211" t="s">
        <v>71</v>
      </c>
      <c r="CD2" s="211" t="s">
        <v>72</v>
      </c>
      <c r="CE2" s="211" t="s">
        <v>73</v>
      </c>
      <c r="CF2" s="211" t="s">
        <v>74</v>
      </c>
      <c r="CG2" s="204"/>
      <c r="CH2" s="434"/>
      <c r="CI2" s="204"/>
      <c r="CJ2" s="211" t="s">
        <v>71</v>
      </c>
      <c r="CK2" s="211" t="s">
        <v>72</v>
      </c>
      <c r="CL2" s="211" t="s">
        <v>73</v>
      </c>
      <c r="CM2" s="211" t="s">
        <v>74</v>
      </c>
      <c r="CN2" s="204"/>
      <c r="CO2" s="434"/>
      <c r="CP2" s="204"/>
      <c r="CQ2" s="211" t="s">
        <v>71</v>
      </c>
      <c r="CR2" s="211" t="s">
        <v>72</v>
      </c>
      <c r="CS2" s="211" t="s">
        <v>73</v>
      </c>
      <c r="CT2" s="211" t="s">
        <v>74</v>
      </c>
      <c r="CU2" s="212"/>
      <c r="CV2" s="211"/>
      <c r="CW2" s="204"/>
      <c r="CX2" s="434"/>
      <c r="CY2" s="213"/>
      <c r="CZ2" s="213"/>
      <c r="DA2" s="213"/>
    </row>
    <row r="3" spans="1:105" x14ac:dyDescent="0.3">
      <c r="D3" s="23"/>
      <c r="CL3" s="58"/>
      <c r="CX3" s="13">
        <v>0.15</v>
      </c>
      <c r="CY3" s="13">
        <v>0.15</v>
      </c>
    </row>
    <row r="4" spans="1:105" s="26" customFormat="1" ht="16.5" customHeight="1" x14ac:dyDescent="0.3">
      <c r="A4" s="24"/>
      <c r="B4" s="25" t="s">
        <v>3</v>
      </c>
      <c r="D4" s="2">
        <f>SUM(D5)</f>
        <v>14131</v>
      </c>
      <c r="E4" s="216">
        <f>SUM(E5)</f>
        <v>1220</v>
      </c>
      <c r="F4" s="4">
        <f t="shared" ref="F4:F17" si="0">E4-D4</f>
        <v>-12911</v>
      </c>
      <c r="G4" s="217">
        <f t="shared" ref="G4:G50" si="1">IFERROR(E4/D4,0)</f>
        <v>8.6335008138136007E-2</v>
      </c>
      <c r="I4" s="2">
        <f>SUM(I5)</f>
        <v>15147.77</v>
      </c>
      <c r="J4" s="218"/>
      <c r="K4" s="2">
        <f>SUM(K5)</f>
        <v>1256</v>
      </c>
      <c r="L4" s="219">
        <f>SUM(L5)</f>
        <v>150720</v>
      </c>
      <c r="M4" s="2">
        <f>L4-K4</f>
        <v>149464</v>
      </c>
      <c r="N4" s="27">
        <f t="shared" ref="N4:N67" si="2">IFERROR(L4/K4,0)</f>
        <v>120</v>
      </c>
      <c r="P4" s="2">
        <f>SUM(P5)</f>
        <v>1260</v>
      </c>
      <c r="R4" s="2">
        <f>SUM(R5)</f>
        <v>837</v>
      </c>
      <c r="S4" s="219">
        <f>SUM(S5)</f>
        <v>345969</v>
      </c>
      <c r="T4" s="2">
        <f t="shared" ref="T4:T17" si="3">S4-R4</f>
        <v>345132</v>
      </c>
      <c r="U4" s="27">
        <f t="shared" ref="U4:U50" si="4">IFERROR(S4/R4,0)</f>
        <v>413.3440860215054</v>
      </c>
      <c r="W4" s="2">
        <f>SUM(W5)</f>
        <v>840</v>
      </c>
      <c r="Y4" s="2">
        <f>SUM(Y5)</f>
        <v>361107</v>
      </c>
      <c r="Z4" s="219">
        <f>SUM(Z5)</f>
        <v>184329.68</v>
      </c>
      <c r="AA4" s="2">
        <f t="shared" ref="AA4:AA17" si="5">Z4-Y4</f>
        <v>-176777.32</v>
      </c>
      <c r="AB4" s="27">
        <f t="shared" ref="AB4:AB18" si="6">IFERROR(Z4/Y4,0)</f>
        <v>0.51045723289772837</v>
      </c>
      <c r="AD4" s="2">
        <f>SUM(AD5)</f>
        <v>362025</v>
      </c>
      <c r="AF4" s="2">
        <f>SUM(AF5)</f>
        <v>125626</v>
      </c>
      <c r="AG4" s="2">
        <f>SUM(AG5)</f>
        <v>150630</v>
      </c>
      <c r="AH4" s="2">
        <f t="shared" ref="AH4:AH17" si="7">AG4-AF4</f>
        <v>25004</v>
      </c>
      <c r="AI4" s="27">
        <f t="shared" ref="AI4:AI50" si="8">IFERROR(AG4/AF4,0)</f>
        <v>1.1990352315603459</v>
      </c>
      <c r="AK4" s="2">
        <f>SUM(AK5)</f>
        <v>126231.25</v>
      </c>
      <c r="AM4" s="2">
        <f>SUM(AM5)</f>
        <v>119920</v>
      </c>
      <c r="AN4" s="219">
        <f>SUM(AN5)</f>
        <v>148750</v>
      </c>
      <c r="AO4" s="2">
        <f t="shared" ref="AO4:AO24" si="9">AN4-AM4</f>
        <v>28830</v>
      </c>
      <c r="AP4" s="27">
        <f t="shared" ref="AP4:AP50" si="10">IFERROR(AN4/AM4,0)</f>
        <v>1.240410273515677</v>
      </c>
      <c r="AR4" s="2">
        <f>SUM(AR5)</f>
        <v>120225</v>
      </c>
      <c r="AT4" s="2">
        <f>SUM(AT5)</f>
        <v>121715</v>
      </c>
      <c r="AU4" s="2">
        <f>SUM(AU5)</f>
        <v>148750</v>
      </c>
      <c r="AV4" s="2">
        <f t="shared" ref="AV4:AV17" si="11">AU4-AT4</f>
        <v>27035</v>
      </c>
      <c r="AW4" s="27">
        <f t="shared" ref="AW4:AW50" si="12">IFERROR(AU4/AT4,0)</f>
        <v>1.2221172410960031</v>
      </c>
      <c r="AY4" s="2">
        <f>SUM(AY5)</f>
        <v>122025</v>
      </c>
      <c r="BA4" s="2">
        <f>SUM(BA5)</f>
        <v>244688</v>
      </c>
      <c r="BB4" s="219">
        <f>SUM(BB5)</f>
        <v>148750</v>
      </c>
      <c r="BC4" s="219">
        <f t="shared" ref="BC4:BC17" si="13">BB4-BA4</f>
        <v>-95938</v>
      </c>
      <c r="BD4" s="27">
        <f t="shared" ref="BD4:BD50" si="14">IFERROR(BB4/BA4,0)</f>
        <v>0.60791702085921662</v>
      </c>
      <c r="BF4" s="2">
        <f>SUM(BF5)</f>
        <v>245310</v>
      </c>
      <c r="BH4" s="2">
        <f>SUM(BH5)</f>
        <v>0</v>
      </c>
      <c r="BI4" s="219">
        <f>SUM(BI5)</f>
        <v>148750</v>
      </c>
      <c r="BJ4" s="219">
        <f t="shared" ref="BJ4:BJ17" si="15">BI4-BH4</f>
        <v>148750</v>
      </c>
      <c r="BK4" s="27">
        <f t="shared" ref="BK4:BK50" si="16">IFERROR(BI4/BH4,0)</f>
        <v>0</v>
      </c>
      <c r="BM4" s="2">
        <f>SUM(BM5)</f>
        <v>125490</v>
      </c>
      <c r="BO4" s="2">
        <f>SUM(BO5)</f>
        <v>205065</v>
      </c>
      <c r="BP4" s="2">
        <f>SUM(BP5)</f>
        <v>152785.60000000001</v>
      </c>
      <c r="BQ4" s="2">
        <f t="shared" ref="BQ4:BQ17" si="17">BP4-BO4</f>
        <v>-52279.399999999994</v>
      </c>
      <c r="BR4" s="27">
        <f t="shared" ref="BR4:BR50" si="18">IFERROR(BP4/BO4,0)</f>
        <v>0.74505937141881851</v>
      </c>
      <c r="BT4" s="2">
        <f>SUM(BT5)</f>
        <v>120675</v>
      </c>
      <c r="BV4" s="28">
        <f>SUM(BV5)</f>
        <v>0</v>
      </c>
      <c r="BW4" s="2">
        <f>SUM(BW5)</f>
        <v>148750</v>
      </c>
      <c r="BX4" s="2">
        <f t="shared" ref="BX4:BX17" si="19">BW4-BV4</f>
        <v>148750</v>
      </c>
      <c r="BY4" s="27">
        <f t="shared" ref="BY4:BY50" si="20">IFERROR(BW4/BV4,0)</f>
        <v>0</v>
      </c>
      <c r="CA4" s="4">
        <f>SUM(CA5)</f>
        <v>120225</v>
      </c>
      <c r="CC4" s="2">
        <f>SUM(CC5)</f>
        <v>416714</v>
      </c>
      <c r="CD4" s="2">
        <f>SUM(CD5)</f>
        <v>148750</v>
      </c>
      <c r="CE4" s="2">
        <f t="shared" ref="CE4:CE17" si="21">CD4-CC4</f>
        <v>-267964</v>
      </c>
      <c r="CF4" s="27">
        <f t="shared" ref="CF4:CF50" si="22">IFERROR(CD4/CC4,0)</f>
        <v>0.35695944940654739</v>
      </c>
      <c r="CH4" s="4">
        <f>SUM(CH5)</f>
        <v>122817</v>
      </c>
      <c r="CJ4" s="220">
        <f t="shared" ref="CJ4:CK49" si="23">+D4+K4+R4+Y4+AF4+AM4+AT4+BA4+BH4+BO4+BV4+CC4</f>
        <v>1611059</v>
      </c>
      <c r="CK4" s="2">
        <f t="shared" si="23"/>
        <v>1878154.28</v>
      </c>
      <c r="CL4" s="2">
        <f t="shared" ref="CL4:CL17" si="24">CK4-CJ4</f>
        <v>267095.28000000003</v>
      </c>
      <c r="CM4" s="27">
        <f t="shared" ref="CM4:CM50" si="25">IFERROR(CK4/CJ4,0)</f>
        <v>1.1657886396463444</v>
      </c>
      <c r="CO4" s="4">
        <f t="shared" ref="CO4:CO67" si="26">I4+P4+W4+AD4+AK4+AR4+AY4+BF4+BM4+CH4</f>
        <v>1241371.02</v>
      </c>
      <c r="CQ4" s="2">
        <v>1611059</v>
      </c>
      <c r="CR4" s="2">
        <f t="shared" ref="CR4:CR17" si="27">+E4+L4+S4+Z4+AG4+AN4+AU4+BB4+BI4+BP4+BW4+CD4</f>
        <v>1878154.28</v>
      </c>
      <c r="CS4" s="2">
        <f t="shared" ref="CS4:CS17" si="28">CR4-CQ4</f>
        <v>267095.28000000003</v>
      </c>
      <c r="CT4" s="27">
        <f t="shared" ref="CT4:CT50" si="29">IFERROR(CR4/CQ4,0)</f>
        <v>1.1657886396463444</v>
      </c>
      <c r="CV4" s="2">
        <f t="shared" ref="CV4:CV17" si="30">+I4+P4+W4+AD4+AK4+AR4+AY4+BF4+BM4+BT4+CA4+CH4</f>
        <v>1482271.02</v>
      </c>
      <c r="CX4" s="2">
        <f t="shared" ref="CX4:CX67" si="31">BO4+BV4+CC4</f>
        <v>621779</v>
      </c>
      <c r="CY4" s="2">
        <f t="shared" ref="CY4:CY67" si="32">BO4+BV4+CC4</f>
        <v>621779</v>
      </c>
      <c r="CZ4" s="2">
        <f t="shared" ref="CZ4:CZ51" si="33">CY4*(1+($CY$3))</f>
        <v>715045.85</v>
      </c>
      <c r="DA4" s="2">
        <f t="shared" ref="DA4:DA67" si="34">+CZ4+CR4</f>
        <v>2593200.13</v>
      </c>
    </row>
    <row r="5" spans="1:105" s="31" customFormat="1" ht="16.5" customHeight="1" x14ac:dyDescent="0.3">
      <c r="A5" s="29">
        <v>12</v>
      </c>
      <c r="B5" s="30" t="s">
        <v>4</v>
      </c>
      <c r="D5" s="3">
        <v>14131</v>
      </c>
      <c r="E5" s="3">
        <v>1220</v>
      </c>
      <c r="F5" s="3">
        <f t="shared" si="0"/>
        <v>-12911</v>
      </c>
      <c r="G5" s="32">
        <f t="shared" si="1"/>
        <v>8.6335008138136007E-2</v>
      </c>
      <c r="I5" s="3">
        <v>15147.77</v>
      </c>
      <c r="J5" s="221"/>
      <c r="K5" s="33">
        <v>1256</v>
      </c>
      <c r="L5" s="222">
        <v>150720</v>
      </c>
      <c r="M5" s="3">
        <v>149464</v>
      </c>
      <c r="N5" s="32">
        <f t="shared" si="2"/>
        <v>120</v>
      </c>
      <c r="P5" s="3">
        <v>1260</v>
      </c>
      <c r="R5" s="3">
        <v>837</v>
      </c>
      <c r="S5" s="223">
        <v>345969</v>
      </c>
      <c r="T5" s="3">
        <f t="shared" si="3"/>
        <v>345132</v>
      </c>
      <c r="U5" s="32">
        <f t="shared" si="4"/>
        <v>413.3440860215054</v>
      </c>
      <c r="W5" s="3">
        <v>840</v>
      </c>
      <c r="Y5" s="3">
        <v>361107</v>
      </c>
      <c r="Z5" s="223">
        <v>184329.68</v>
      </c>
      <c r="AA5" s="3">
        <f t="shared" si="5"/>
        <v>-176777.32</v>
      </c>
      <c r="AB5" s="32">
        <f t="shared" si="6"/>
        <v>0.51045723289772837</v>
      </c>
      <c r="AD5" s="3">
        <v>362025</v>
      </c>
      <c r="AF5" s="3">
        <v>125626</v>
      </c>
      <c r="AG5" s="3">
        <v>150630</v>
      </c>
      <c r="AH5" s="3">
        <f t="shared" si="7"/>
        <v>25004</v>
      </c>
      <c r="AI5" s="32">
        <f t="shared" si="8"/>
        <v>1.1990352315603459</v>
      </c>
      <c r="AK5" s="3">
        <v>126231.25</v>
      </c>
      <c r="AM5" s="3">
        <v>119920</v>
      </c>
      <c r="AN5" s="222">
        <v>148750</v>
      </c>
      <c r="AO5" s="3">
        <f t="shared" si="9"/>
        <v>28830</v>
      </c>
      <c r="AP5" s="32">
        <f t="shared" si="10"/>
        <v>1.240410273515677</v>
      </c>
      <c r="AR5" s="3">
        <v>120225</v>
      </c>
      <c r="AT5" s="3">
        <v>121715</v>
      </c>
      <c r="AU5" s="3">
        <v>148750</v>
      </c>
      <c r="AV5" s="3">
        <f t="shared" si="11"/>
        <v>27035</v>
      </c>
      <c r="AW5" s="32">
        <f t="shared" si="12"/>
        <v>1.2221172410960031</v>
      </c>
      <c r="AY5" s="3">
        <v>122025</v>
      </c>
      <c r="BA5" s="3">
        <v>244688</v>
      </c>
      <c r="BB5" s="222">
        <v>148750</v>
      </c>
      <c r="BC5" s="222">
        <f t="shared" si="13"/>
        <v>-95938</v>
      </c>
      <c r="BD5" s="32">
        <f t="shared" si="14"/>
        <v>0.60791702085921662</v>
      </c>
      <c r="BF5" s="3">
        <v>245310</v>
      </c>
      <c r="BH5" s="3">
        <v>0</v>
      </c>
      <c r="BI5" s="222">
        <v>148750</v>
      </c>
      <c r="BJ5" s="222">
        <f t="shared" si="15"/>
        <v>148750</v>
      </c>
      <c r="BK5" s="32">
        <f t="shared" si="16"/>
        <v>0</v>
      </c>
      <c r="BM5" s="224">
        <v>125490</v>
      </c>
      <c r="BO5" s="3">
        <v>205065</v>
      </c>
      <c r="BP5" s="3">
        <v>152785.60000000001</v>
      </c>
      <c r="BQ5" s="3">
        <f t="shared" si="17"/>
        <v>-52279.399999999994</v>
      </c>
      <c r="BR5" s="32">
        <f t="shared" si="18"/>
        <v>0.74505937141881851</v>
      </c>
      <c r="BT5" s="3">
        <f>121125-450</f>
        <v>120675</v>
      </c>
      <c r="BV5" s="3">
        <v>0</v>
      </c>
      <c r="BW5" s="34">
        <v>148750</v>
      </c>
      <c r="BX5" s="3">
        <f t="shared" si="19"/>
        <v>148750</v>
      </c>
      <c r="BY5" s="32">
        <f t="shared" si="20"/>
        <v>0</v>
      </c>
      <c r="CA5" s="3">
        <v>120225</v>
      </c>
      <c r="CC5" s="3">
        <v>416714</v>
      </c>
      <c r="CD5" s="3">
        <v>148750</v>
      </c>
      <c r="CE5" s="3">
        <f t="shared" si="21"/>
        <v>-267964</v>
      </c>
      <c r="CF5" s="32">
        <f t="shared" si="22"/>
        <v>0.35695944940654739</v>
      </c>
      <c r="CH5" s="3">
        <v>122817</v>
      </c>
      <c r="CJ5" s="225">
        <f t="shared" si="23"/>
        <v>1611059</v>
      </c>
      <c r="CK5" s="3">
        <f t="shared" si="23"/>
        <v>1878154.28</v>
      </c>
      <c r="CL5" s="3">
        <f t="shared" si="24"/>
        <v>267095.28000000003</v>
      </c>
      <c r="CM5" s="32">
        <f t="shared" si="25"/>
        <v>1.1657886396463444</v>
      </c>
      <c r="CO5" s="3">
        <f t="shared" si="26"/>
        <v>1241371.02</v>
      </c>
      <c r="CQ5" s="3">
        <v>1611059</v>
      </c>
      <c r="CR5" s="3">
        <f t="shared" si="27"/>
        <v>1878154.28</v>
      </c>
      <c r="CS5" s="3">
        <f t="shared" si="28"/>
        <v>267095.28000000003</v>
      </c>
      <c r="CT5" s="32">
        <f t="shared" si="29"/>
        <v>1.1657886396463444</v>
      </c>
      <c r="CV5" s="3">
        <f t="shared" si="30"/>
        <v>1482271.02</v>
      </c>
      <c r="CX5" s="3">
        <f t="shared" si="31"/>
        <v>621779</v>
      </c>
      <c r="CY5" s="3">
        <f t="shared" si="32"/>
        <v>621779</v>
      </c>
      <c r="CZ5" s="3">
        <f t="shared" si="33"/>
        <v>715045.85</v>
      </c>
      <c r="DA5" s="3">
        <f t="shared" si="34"/>
        <v>2593200.13</v>
      </c>
    </row>
    <row r="6" spans="1:105" s="26" customFormat="1" ht="16.5" customHeight="1" x14ac:dyDescent="0.3">
      <c r="A6" s="35"/>
      <c r="B6" s="36" t="s">
        <v>5</v>
      </c>
      <c r="D6" s="4">
        <f>SUM(D7:D9)</f>
        <v>113866942</v>
      </c>
      <c r="E6" s="4">
        <f>SUM(E7:E9)</f>
        <v>141023335.49000001</v>
      </c>
      <c r="F6" s="4">
        <f t="shared" si="0"/>
        <v>27156393.49000001</v>
      </c>
      <c r="G6" s="37">
        <f t="shared" si="1"/>
        <v>1.2384923403844463</v>
      </c>
      <c r="I6" s="5">
        <f>SUM(I7:I9)</f>
        <v>120791620.56999999</v>
      </c>
      <c r="J6" s="218"/>
      <c r="K6" s="4">
        <f>SUM(K7:K9)</f>
        <v>21557207</v>
      </c>
      <c r="L6" s="226">
        <f>SUM(L7:L9)</f>
        <v>32631878.439999998</v>
      </c>
      <c r="M6" s="5">
        <f t="shared" ref="M6:M17" si="35">L6-K6</f>
        <v>11074671.439999998</v>
      </c>
      <c r="N6" s="37">
        <f t="shared" si="2"/>
        <v>1.513734058405618</v>
      </c>
      <c r="P6" s="5">
        <f>SUM(P7:P9)</f>
        <v>22137995.5</v>
      </c>
      <c r="R6" s="4">
        <f>SUM(R7:R9)</f>
        <v>16607481</v>
      </c>
      <c r="S6" s="226">
        <f>SUM(S7:S9)</f>
        <v>33183226.73</v>
      </c>
      <c r="T6" s="5">
        <f t="shared" si="3"/>
        <v>16575745.73</v>
      </c>
      <c r="U6" s="37">
        <f t="shared" si="4"/>
        <v>1.9980890979191848</v>
      </c>
      <c r="W6" s="5">
        <f>SUM(W7:W9)</f>
        <v>17751761.439999998</v>
      </c>
      <c r="Y6" s="4">
        <f>SUM(Y7:Y9)</f>
        <v>18179821</v>
      </c>
      <c r="Z6" s="226">
        <f>SUM(Z7:Z9)</f>
        <v>26740092.020000003</v>
      </c>
      <c r="AA6" s="5">
        <f t="shared" si="5"/>
        <v>8560271.0200000033</v>
      </c>
      <c r="AB6" s="37">
        <f t="shared" si="6"/>
        <v>1.4708666284448018</v>
      </c>
      <c r="AD6" s="5">
        <f>SUM(AD7:AD9)</f>
        <v>18310480.710000001</v>
      </c>
      <c r="AF6" s="4">
        <f>SUM(AF7:AF9)</f>
        <v>23554406</v>
      </c>
      <c r="AG6" s="4">
        <f>SUM(AG7:AG9)</f>
        <v>41613355.280000001</v>
      </c>
      <c r="AH6" s="5">
        <f t="shared" si="7"/>
        <v>18058949.280000001</v>
      </c>
      <c r="AI6" s="37">
        <f t="shared" si="8"/>
        <v>1.7666909231334469</v>
      </c>
      <c r="AK6" s="5">
        <f>SUM(AK7:AK9)</f>
        <v>25987884.329999998</v>
      </c>
      <c r="AM6" s="4">
        <f>SUM(AM7:AM9)</f>
        <v>26473100</v>
      </c>
      <c r="AN6" s="226">
        <f>SUM(AN7:AN9)</f>
        <v>28374195.16</v>
      </c>
      <c r="AO6" s="5">
        <f t="shared" si="9"/>
        <v>1901095.1600000001</v>
      </c>
      <c r="AP6" s="37">
        <f t="shared" si="10"/>
        <v>1.0718123362960892</v>
      </c>
      <c r="AR6" s="5">
        <f>SUM(AR7:AR9)</f>
        <v>40702897.440000005</v>
      </c>
      <c r="AT6" s="4">
        <f>SUM(AT7:AT9)</f>
        <v>22432218</v>
      </c>
      <c r="AU6" s="4">
        <f>SUM(AU7:AU9)</f>
        <v>27842136.059999999</v>
      </c>
      <c r="AV6" s="5">
        <f t="shared" si="11"/>
        <v>5409918.0599999987</v>
      </c>
      <c r="AW6" s="37">
        <f t="shared" si="12"/>
        <v>1.2411673272790056</v>
      </c>
      <c r="AY6" s="5">
        <f>SUM(AY7:AY9)</f>
        <v>25083311.259999998</v>
      </c>
      <c r="BA6" s="5">
        <f>SUM(BA7:BA9)</f>
        <v>19984338</v>
      </c>
      <c r="BB6" s="226">
        <f>SUM(BB7:BB9)</f>
        <v>32225867.859999999</v>
      </c>
      <c r="BC6" s="227">
        <f t="shared" si="13"/>
        <v>12241529.859999999</v>
      </c>
      <c r="BD6" s="37">
        <f t="shared" si="14"/>
        <v>1.61255618574906</v>
      </c>
      <c r="BF6" s="5">
        <f>SUM(BF7:BF9)</f>
        <v>21175845.419999998</v>
      </c>
      <c r="BH6" s="4">
        <f>SUM(BH7:BH9)</f>
        <v>23803256</v>
      </c>
      <c r="BI6" s="226">
        <f>SUM(BI7:BI9)</f>
        <v>31185641.380000003</v>
      </c>
      <c r="BJ6" s="227">
        <f t="shared" si="15"/>
        <v>7382385.3800000027</v>
      </c>
      <c r="BK6" s="37">
        <f t="shared" si="16"/>
        <v>1.3101418301765104</v>
      </c>
      <c r="BM6" s="5">
        <f>SUM(BM7:BM9)</f>
        <v>28948379.75</v>
      </c>
      <c r="BO6" s="4">
        <f>SUM(BO7:BO9)</f>
        <v>26590012</v>
      </c>
      <c r="BP6" s="4">
        <f>SUM(BP7:BP9)</f>
        <v>45293466.25</v>
      </c>
      <c r="BQ6" s="5">
        <f t="shared" si="17"/>
        <v>18703454.25</v>
      </c>
      <c r="BR6" s="37">
        <f t="shared" si="18"/>
        <v>1.7034014971486287</v>
      </c>
      <c r="BT6" s="5">
        <f>SUM(BT7:BT9)</f>
        <v>26962426.819999997</v>
      </c>
      <c r="BV6" s="5">
        <f>SUM(BV7:BV9)</f>
        <v>19168819</v>
      </c>
      <c r="BW6" s="4">
        <f>SUM(BW7:BW9)</f>
        <v>30768872.220000003</v>
      </c>
      <c r="BX6" s="5">
        <f t="shared" si="19"/>
        <v>11600053.220000003</v>
      </c>
      <c r="BY6" s="37">
        <f t="shared" si="20"/>
        <v>1.6051522120376849</v>
      </c>
      <c r="CA6" s="4">
        <f>SUM(CA7:CA9)</f>
        <v>27411637.5</v>
      </c>
      <c r="CC6" s="4">
        <f>SUM(CC7:CC9)</f>
        <v>30229010</v>
      </c>
      <c r="CD6" s="4">
        <f>SUM(CD7:CD9)</f>
        <v>38917559.630000003</v>
      </c>
      <c r="CE6" s="5">
        <f t="shared" si="21"/>
        <v>8688549.6300000027</v>
      </c>
      <c r="CF6" s="37">
        <f t="shared" si="22"/>
        <v>1.2874242203102253</v>
      </c>
      <c r="CH6" s="4">
        <f>SUM(CH7:CH9)</f>
        <v>33687336.780000001</v>
      </c>
      <c r="CJ6" s="228">
        <f t="shared" si="23"/>
        <v>362446610</v>
      </c>
      <c r="CK6" s="5">
        <f t="shared" si="23"/>
        <v>509799626.5200001</v>
      </c>
      <c r="CL6" s="5">
        <f t="shared" si="24"/>
        <v>147353016.5200001</v>
      </c>
      <c r="CM6" s="37">
        <f t="shared" si="25"/>
        <v>1.406550958001787</v>
      </c>
      <c r="CO6" s="4">
        <f t="shared" si="26"/>
        <v>354577513.20000005</v>
      </c>
      <c r="CQ6" s="5">
        <v>362446610</v>
      </c>
      <c r="CR6" s="5">
        <f t="shared" si="27"/>
        <v>509799626.5200001</v>
      </c>
      <c r="CS6" s="5">
        <f t="shared" si="28"/>
        <v>147353016.5200001</v>
      </c>
      <c r="CT6" s="37">
        <f t="shared" si="29"/>
        <v>1.406550958001787</v>
      </c>
      <c r="CV6" s="5">
        <f t="shared" si="30"/>
        <v>408951577.51999998</v>
      </c>
      <c r="CX6" s="5">
        <f t="shared" si="31"/>
        <v>75987841</v>
      </c>
      <c r="CY6" s="5">
        <f t="shared" si="32"/>
        <v>75987841</v>
      </c>
      <c r="CZ6" s="5">
        <f t="shared" si="33"/>
        <v>87386017.149999991</v>
      </c>
      <c r="DA6" s="5">
        <f t="shared" si="34"/>
        <v>597185643.67000008</v>
      </c>
    </row>
    <row r="7" spans="1:105" s="31" customFormat="1" ht="16.5" customHeight="1" x14ac:dyDescent="0.3">
      <c r="A7" s="29">
        <v>13</v>
      </c>
      <c r="B7" s="30" t="s">
        <v>6</v>
      </c>
      <c r="D7" s="3">
        <v>103493109</v>
      </c>
      <c r="E7" s="3">
        <v>121826118.68000001</v>
      </c>
      <c r="F7" s="3">
        <f t="shared" si="0"/>
        <v>18333009.680000007</v>
      </c>
      <c r="G7" s="32">
        <f t="shared" si="1"/>
        <v>1.1771423223936581</v>
      </c>
      <c r="I7" s="3">
        <v>109914565.94</v>
      </c>
      <c r="J7" s="221"/>
      <c r="K7" s="33">
        <v>9923780</v>
      </c>
      <c r="L7" s="222">
        <v>11505847.220000001</v>
      </c>
      <c r="M7" s="3">
        <f t="shared" si="35"/>
        <v>1582067.2200000007</v>
      </c>
      <c r="N7" s="32">
        <f t="shared" si="2"/>
        <v>1.1594218352281087</v>
      </c>
      <c r="P7" s="3">
        <f>12102026.02-1655863.28</f>
        <v>10446162.74</v>
      </c>
      <c r="R7" s="3">
        <v>3828798</v>
      </c>
      <c r="S7" s="223">
        <v>6725934.7499999991</v>
      </c>
      <c r="T7" s="3">
        <f t="shared" si="3"/>
        <v>2897136.7499999991</v>
      </c>
      <c r="U7" s="32">
        <f t="shared" si="4"/>
        <v>1.7566700437056222</v>
      </c>
      <c r="W7" s="3">
        <f>6263943.81-1557093.81</f>
        <v>4706850</v>
      </c>
      <c r="Y7" s="3">
        <v>3682463</v>
      </c>
      <c r="Z7" s="223">
        <v>3136508.33</v>
      </c>
      <c r="AA7" s="3">
        <f t="shared" si="5"/>
        <v>-545954.66999999993</v>
      </c>
      <c r="AB7" s="32">
        <f t="shared" si="6"/>
        <v>0.85174198084271313</v>
      </c>
      <c r="AD7" s="3">
        <f>5804001.92-2439737.71</f>
        <v>3364264.21</v>
      </c>
      <c r="AF7" s="3">
        <v>3993224</v>
      </c>
      <c r="AG7" s="3">
        <v>5037053.46</v>
      </c>
      <c r="AH7" s="3">
        <f t="shared" si="7"/>
        <v>1043829.46</v>
      </c>
      <c r="AI7" s="32">
        <f t="shared" si="8"/>
        <v>1.2614001768996681</v>
      </c>
      <c r="AK7" s="3">
        <f>6089919.97-1395895.61</f>
        <v>4694024.3599999994</v>
      </c>
      <c r="AM7" s="3">
        <v>3746532</v>
      </c>
      <c r="AN7" s="222">
        <v>3447099.3</v>
      </c>
      <c r="AO7" s="3">
        <f t="shared" si="9"/>
        <v>-299432.70000000019</v>
      </c>
      <c r="AP7" s="32">
        <f t="shared" si="10"/>
        <v>0.92007736754950975</v>
      </c>
      <c r="AR7" s="3">
        <f>3713431.74-345217.86</f>
        <v>3368213.8800000004</v>
      </c>
      <c r="AT7" s="3">
        <v>3699953</v>
      </c>
      <c r="AU7" s="3">
        <v>5176441.79</v>
      </c>
      <c r="AV7" s="3">
        <f t="shared" si="11"/>
        <v>1476488.79</v>
      </c>
      <c r="AW7" s="32">
        <f t="shared" si="12"/>
        <v>1.3990560934152407</v>
      </c>
      <c r="AY7" s="3">
        <f>4904044.83-603726.54</f>
        <v>4300318.29</v>
      </c>
      <c r="BA7" s="3">
        <v>3464048</v>
      </c>
      <c r="BB7" s="222">
        <v>3375839.66</v>
      </c>
      <c r="BC7" s="222">
        <f t="shared" si="13"/>
        <v>-88208.339999999851</v>
      </c>
      <c r="BD7" s="32">
        <f t="shared" si="14"/>
        <v>0.9745360514634902</v>
      </c>
      <c r="BF7" s="3">
        <f>4004618.24-454937.91</f>
        <v>3549680.33</v>
      </c>
      <c r="BH7" s="3">
        <v>3049268</v>
      </c>
      <c r="BI7" s="222">
        <v>4643515.12</v>
      </c>
      <c r="BJ7" s="222">
        <f t="shared" si="15"/>
        <v>1594247.12</v>
      </c>
      <c r="BK7" s="32">
        <f t="shared" si="16"/>
        <v>1.5228294528391733</v>
      </c>
      <c r="BM7" s="3">
        <v>2977943.5700000003</v>
      </c>
      <c r="BN7" s="229"/>
      <c r="BO7" s="3">
        <v>2402292</v>
      </c>
      <c r="BP7" s="3">
        <v>3534319.14</v>
      </c>
      <c r="BQ7" s="3">
        <f t="shared" si="17"/>
        <v>1132027.1400000001</v>
      </c>
      <c r="BR7" s="32">
        <f t="shared" si="18"/>
        <v>1.4712279523055483</v>
      </c>
      <c r="BT7" s="3">
        <f>4763053.53-1255700.25</f>
        <v>3507353.2800000003</v>
      </c>
      <c r="BV7" s="3">
        <v>6096215</v>
      </c>
      <c r="BW7" s="34">
        <v>5595646.0700000003</v>
      </c>
      <c r="BX7" s="3">
        <f t="shared" si="19"/>
        <v>-500568.9299999997</v>
      </c>
      <c r="BY7" s="32">
        <f t="shared" si="20"/>
        <v>0.91788857020298664</v>
      </c>
      <c r="CA7" s="3">
        <f>6141031.78-343158.94</f>
        <v>5797872.8399999999</v>
      </c>
      <c r="CC7" s="3">
        <v>5828968</v>
      </c>
      <c r="CD7" s="3">
        <v>5646169.1900000004</v>
      </c>
      <c r="CE7" s="3">
        <f t="shared" si="21"/>
        <v>-182798.80999999959</v>
      </c>
      <c r="CF7" s="32">
        <f t="shared" si="22"/>
        <v>0.96863959280613654</v>
      </c>
      <c r="CH7" s="3">
        <f>8963356.35-2859047.1</f>
        <v>6104309.25</v>
      </c>
      <c r="CJ7" s="225">
        <f t="shared" si="23"/>
        <v>153208650</v>
      </c>
      <c r="CK7" s="3">
        <f t="shared" si="23"/>
        <v>179650492.71000001</v>
      </c>
      <c r="CL7" s="3">
        <f t="shared" si="24"/>
        <v>26441842.710000008</v>
      </c>
      <c r="CM7" s="32">
        <f t="shared" si="25"/>
        <v>1.1725871398906003</v>
      </c>
      <c r="CO7" s="3">
        <f t="shared" si="26"/>
        <v>153426332.56999999</v>
      </c>
      <c r="CQ7" s="3">
        <v>153208650</v>
      </c>
      <c r="CR7" s="3">
        <f t="shared" si="27"/>
        <v>179650492.71000001</v>
      </c>
      <c r="CS7" s="3">
        <f t="shared" si="28"/>
        <v>26441842.710000008</v>
      </c>
      <c r="CT7" s="32">
        <f t="shared" si="29"/>
        <v>1.1725871398906003</v>
      </c>
      <c r="CV7" s="3">
        <f t="shared" si="30"/>
        <v>162731558.69</v>
      </c>
      <c r="CX7" s="3">
        <f t="shared" si="31"/>
        <v>14327475</v>
      </c>
      <c r="CY7" s="3">
        <f t="shared" si="32"/>
        <v>14327475</v>
      </c>
      <c r="CZ7" s="3">
        <f t="shared" si="33"/>
        <v>16476596.249999998</v>
      </c>
      <c r="DA7" s="3">
        <f t="shared" si="34"/>
        <v>196127088.96000001</v>
      </c>
    </row>
    <row r="8" spans="1:105" s="31" customFormat="1" ht="16.5" customHeight="1" x14ac:dyDescent="0.3">
      <c r="A8" s="29">
        <v>14</v>
      </c>
      <c r="B8" s="30" t="s">
        <v>7</v>
      </c>
      <c r="D8" s="3">
        <v>9755624</v>
      </c>
      <c r="E8" s="3">
        <v>18591187.52</v>
      </c>
      <c r="F8" s="3">
        <f t="shared" si="0"/>
        <v>8835563.5199999996</v>
      </c>
      <c r="G8" s="32">
        <f t="shared" si="1"/>
        <v>1.9056892229548821</v>
      </c>
      <c r="I8" s="3">
        <v>10287970</v>
      </c>
      <c r="J8" s="230"/>
      <c r="K8" s="33">
        <v>11015218</v>
      </c>
      <c r="L8" s="222">
        <v>20328117.399999999</v>
      </c>
      <c r="M8" s="3">
        <f t="shared" si="35"/>
        <v>9312899.3999999985</v>
      </c>
      <c r="N8" s="32">
        <f t="shared" si="2"/>
        <v>1.8454575660690509</v>
      </c>
      <c r="P8" s="3">
        <f>11709589.44-93291.4</f>
        <v>11616298.039999999</v>
      </c>
      <c r="R8" s="3">
        <v>12160474</v>
      </c>
      <c r="S8" s="223">
        <v>25600980.379999999</v>
      </c>
      <c r="T8" s="3">
        <f t="shared" si="3"/>
        <v>13440506.379999999</v>
      </c>
      <c r="U8" s="32">
        <f t="shared" si="4"/>
        <v>2.1052617175942316</v>
      </c>
      <c r="W8" s="3">
        <f>12852037.27-27988.46</f>
        <v>12824048.809999999</v>
      </c>
      <c r="Y8" s="3">
        <v>13879149</v>
      </c>
      <c r="Z8" s="223">
        <v>23022454.800000001</v>
      </c>
      <c r="AA8" s="3">
        <f t="shared" si="5"/>
        <v>9143305.8000000007</v>
      </c>
      <c r="AB8" s="32">
        <f t="shared" si="6"/>
        <v>1.6587800015692606</v>
      </c>
      <c r="AD8" s="3">
        <f>14685973.43-49465.53</f>
        <v>14636507.9</v>
      </c>
      <c r="AF8" s="3">
        <v>18942973</v>
      </c>
      <c r="AG8" s="3">
        <v>36358305.579999998</v>
      </c>
      <c r="AH8" s="3">
        <f t="shared" si="7"/>
        <v>17415332.579999998</v>
      </c>
      <c r="AI8" s="32">
        <f t="shared" si="8"/>
        <v>1.9193558255084879</v>
      </c>
      <c r="AK8" s="3">
        <f>20141822.13-177596.14</f>
        <v>19964225.989999998</v>
      </c>
      <c r="AM8" s="3">
        <v>22108359</v>
      </c>
      <c r="AN8" s="222">
        <v>24050372.050000001</v>
      </c>
      <c r="AO8" s="3">
        <f t="shared" si="9"/>
        <v>1942013.0500000007</v>
      </c>
      <c r="AP8" s="32">
        <f t="shared" si="10"/>
        <v>1.087840669223799</v>
      </c>
      <c r="AR8" s="3">
        <v>36053481.990000002</v>
      </c>
      <c r="AT8" s="3">
        <v>18114056</v>
      </c>
      <c r="AU8" s="3">
        <v>22403009.059999999</v>
      </c>
      <c r="AV8" s="3">
        <f t="shared" si="11"/>
        <v>4288953.0599999987</v>
      </c>
      <c r="AW8" s="32">
        <f t="shared" si="12"/>
        <v>1.2367748592584675</v>
      </c>
      <c r="AY8" s="3">
        <v>19102506.239999998</v>
      </c>
      <c r="BA8" s="3">
        <v>15902081</v>
      </c>
      <c r="BB8" s="222">
        <v>26427200.620000001</v>
      </c>
      <c r="BC8" s="222">
        <f t="shared" si="13"/>
        <v>10525119.620000001</v>
      </c>
      <c r="BD8" s="32">
        <f t="shared" si="14"/>
        <v>1.6618705828501315</v>
      </c>
      <c r="BF8" s="3">
        <v>16769827.390000001</v>
      </c>
      <c r="BH8" s="3">
        <v>20135779</v>
      </c>
      <c r="BI8" s="222">
        <v>25770207.940000001</v>
      </c>
      <c r="BJ8" s="222">
        <f t="shared" si="15"/>
        <v>5634428.9400000013</v>
      </c>
      <c r="BK8" s="32">
        <f t="shared" si="16"/>
        <v>1.2798217511227155</v>
      </c>
      <c r="BM8" s="224">
        <f>25534352.27-542845.39</f>
        <v>24991506.879999999</v>
      </c>
      <c r="BN8" s="229"/>
      <c r="BO8" s="3">
        <v>23569511</v>
      </c>
      <c r="BP8" s="3">
        <v>38896645.780000001</v>
      </c>
      <c r="BQ8" s="3">
        <f t="shared" si="17"/>
        <v>15327134.780000001</v>
      </c>
      <c r="BR8" s="32">
        <f t="shared" si="18"/>
        <v>1.6502949840580061</v>
      </c>
      <c r="BT8" s="3">
        <f>22714633.58-8569.37</f>
        <v>22706064.209999997</v>
      </c>
      <c r="BV8" s="3">
        <v>12454395</v>
      </c>
      <c r="BW8" s="34">
        <v>22832503.100000001</v>
      </c>
      <c r="BX8" s="3">
        <f t="shared" si="19"/>
        <v>10378108.100000001</v>
      </c>
      <c r="BY8" s="32">
        <f t="shared" si="20"/>
        <v>1.8332888189269734</v>
      </c>
      <c r="CA8" s="3">
        <v>21192699.649999999</v>
      </c>
      <c r="CC8" s="3">
        <v>23781829</v>
      </c>
      <c r="CD8" s="3">
        <v>27652508.579999998</v>
      </c>
      <c r="CE8" s="3">
        <f t="shared" si="21"/>
        <v>3870679.5799999982</v>
      </c>
      <c r="CF8" s="32">
        <f t="shared" si="22"/>
        <v>1.1627578593723804</v>
      </c>
      <c r="CH8" s="3">
        <f>26518637.29-256954.3</f>
        <v>26261682.989999998</v>
      </c>
      <c r="CJ8" s="225">
        <f t="shared" si="23"/>
        <v>201819448</v>
      </c>
      <c r="CK8" s="3">
        <f t="shared" si="23"/>
        <v>311933492.81</v>
      </c>
      <c r="CL8" s="3">
        <f t="shared" si="24"/>
        <v>110114044.81</v>
      </c>
      <c r="CM8" s="32">
        <f t="shared" si="25"/>
        <v>1.5456067088737653</v>
      </c>
      <c r="CO8" s="3">
        <f t="shared" si="26"/>
        <v>192508056.22999999</v>
      </c>
      <c r="CQ8" s="3">
        <v>201819448</v>
      </c>
      <c r="CR8" s="3">
        <f t="shared" si="27"/>
        <v>311933492.81</v>
      </c>
      <c r="CS8" s="3">
        <f t="shared" si="28"/>
        <v>110114044.81</v>
      </c>
      <c r="CT8" s="32">
        <f t="shared" si="29"/>
        <v>1.5456067088737653</v>
      </c>
      <c r="CV8" s="3">
        <f t="shared" si="30"/>
        <v>236406820.09</v>
      </c>
      <c r="CX8" s="3">
        <f t="shared" si="31"/>
        <v>59805735</v>
      </c>
      <c r="CY8" s="3">
        <f t="shared" si="32"/>
        <v>59805735</v>
      </c>
      <c r="CZ8" s="3">
        <f t="shared" si="33"/>
        <v>68776595.25</v>
      </c>
      <c r="DA8" s="3">
        <f t="shared" si="34"/>
        <v>380710088.06</v>
      </c>
    </row>
    <row r="9" spans="1:105" s="31" customFormat="1" ht="16.5" customHeight="1" x14ac:dyDescent="0.3">
      <c r="A9" s="29">
        <v>15</v>
      </c>
      <c r="B9" s="30" t="s">
        <v>8</v>
      </c>
      <c r="D9" s="3">
        <v>618209</v>
      </c>
      <c r="E9" s="3">
        <v>606029.29</v>
      </c>
      <c r="F9" s="3">
        <f t="shared" si="0"/>
        <v>-12179.709999999963</v>
      </c>
      <c r="G9" s="32">
        <f t="shared" si="1"/>
        <v>0.98029839423237131</v>
      </c>
      <c r="I9" s="3">
        <v>589084.63</v>
      </c>
      <c r="J9" s="221"/>
      <c r="K9" s="33">
        <v>618209</v>
      </c>
      <c r="L9" s="222">
        <v>797913.82</v>
      </c>
      <c r="M9" s="3">
        <f t="shared" si="35"/>
        <v>179704.81999999995</v>
      </c>
      <c r="N9" s="32">
        <f t="shared" si="2"/>
        <v>1.2906861918865626</v>
      </c>
      <c r="P9" s="3">
        <v>75534.720000000001</v>
      </c>
      <c r="R9" s="3">
        <v>618209</v>
      </c>
      <c r="S9" s="223">
        <v>856311.6</v>
      </c>
      <c r="T9" s="3">
        <f t="shared" si="3"/>
        <v>238102.59999999998</v>
      </c>
      <c r="U9" s="32">
        <f t="shared" si="4"/>
        <v>1.3851490353585922</v>
      </c>
      <c r="W9" s="3">
        <f>233585.04-12722.41</f>
        <v>220862.63</v>
      </c>
      <c r="Y9" s="3">
        <v>618209</v>
      </c>
      <c r="Z9" s="223">
        <v>581128.89</v>
      </c>
      <c r="AA9" s="3">
        <f t="shared" si="5"/>
        <v>-37080.109999999986</v>
      </c>
      <c r="AB9" s="32">
        <f t="shared" si="6"/>
        <v>0.94002010646884793</v>
      </c>
      <c r="AD9" s="3">
        <v>309708.59999999998</v>
      </c>
      <c r="AF9" s="3">
        <v>618209</v>
      </c>
      <c r="AG9" s="3">
        <v>217996.24</v>
      </c>
      <c r="AH9" s="3">
        <f t="shared" si="7"/>
        <v>-400212.76</v>
      </c>
      <c r="AI9" s="32">
        <f t="shared" si="8"/>
        <v>0.35262547132118749</v>
      </c>
      <c r="AK9" s="3">
        <f>1942475.18-612841.2</f>
        <v>1329633.98</v>
      </c>
      <c r="AM9" s="3">
        <v>618209</v>
      </c>
      <c r="AN9" s="222">
        <v>876723.81</v>
      </c>
      <c r="AO9" s="3">
        <f t="shared" si="9"/>
        <v>258514.81000000006</v>
      </c>
      <c r="AP9" s="32">
        <f t="shared" si="10"/>
        <v>1.4181673349951232</v>
      </c>
      <c r="AR9" s="3">
        <f>1346000.61-64799.04</f>
        <v>1281201.57</v>
      </c>
      <c r="AT9" s="3">
        <v>618209</v>
      </c>
      <c r="AU9" s="3">
        <v>262685.21000000002</v>
      </c>
      <c r="AV9" s="3">
        <f t="shared" si="11"/>
        <v>-355523.79</v>
      </c>
      <c r="AW9" s="32">
        <f t="shared" si="12"/>
        <v>0.42491327366634912</v>
      </c>
      <c r="AY9" s="3">
        <v>1680486.73</v>
      </c>
      <c r="BA9" s="3">
        <v>618209</v>
      </c>
      <c r="BB9" s="222">
        <v>2422827.58</v>
      </c>
      <c r="BC9" s="222">
        <f t="shared" si="13"/>
        <v>1804618.58</v>
      </c>
      <c r="BD9" s="32">
        <f t="shared" si="14"/>
        <v>3.9191075833577318</v>
      </c>
      <c r="BF9" s="3">
        <v>856337.7</v>
      </c>
      <c r="BH9" s="3">
        <v>618209</v>
      </c>
      <c r="BI9" s="222">
        <v>771918.32</v>
      </c>
      <c r="BJ9" s="222">
        <f t="shared" si="15"/>
        <v>153709.31999999995</v>
      </c>
      <c r="BK9" s="32">
        <f t="shared" si="16"/>
        <v>1.2486364967187471</v>
      </c>
      <c r="BM9" s="224">
        <v>978929.3</v>
      </c>
      <c r="BO9" s="3">
        <v>618209</v>
      </c>
      <c r="BP9" s="3">
        <v>2862501.33</v>
      </c>
      <c r="BQ9" s="3">
        <f t="shared" si="17"/>
        <v>2244292.33</v>
      </c>
      <c r="BR9" s="32">
        <f t="shared" si="18"/>
        <v>4.6303132597551961</v>
      </c>
      <c r="BT9" s="3">
        <f>749009.33</f>
        <v>749009.33</v>
      </c>
      <c r="BV9" s="3">
        <v>618209</v>
      </c>
      <c r="BW9" s="34">
        <v>2340723.0499999998</v>
      </c>
      <c r="BX9" s="3">
        <f t="shared" si="19"/>
        <v>1722514.0499999998</v>
      </c>
      <c r="BY9" s="32">
        <f t="shared" si="20"/>
        <v>3.7862972716346732</v>
      </c>
      <c r="CA9" s="3">
        <v>421065.01</v>
      </c>
      <c r="CC9" s="3">
        <v>618213</v>
      </c>
      <c r="CD9" s="3">
        <v>5618881.8600000003</v>
      </c>
      <c r="CE9" s="3">
        <f t="shared" si="21"/>
        <v>5000668.8600000003</v>
      </c>
      <c r="CF9" s="32">
        <f t="shared" si="22"/>
        <v>9.0889092594300021</v>
      </c>
      <c r="CH9" s="3">
        <f>1496994.84-175650.3</f>
        <v>1321344.54</v>
      </c>
      <c r="CJ9" s="225">
        <f t="shared" si="23"/>
        <v>7418512</v>
      </c>
      <c r="CK9" s="3">
        <f t="shared" si="23"/>
        <v>18215641</v>
      </c>
      <c r="CL9" s="3">
        <f t="shared" si="24"/>
        <v>10797129</v>
      </c>
      <c r="CM9" s="32">
        <f t="shared" si="25"/>
        <v>2.4554305499539528</v>
      </c>
      <c r="CO9" s="3">
        <f t="shared" si="26"/>
        <v>8643124.3999999985</v>
      </c>
      <c r="CQ9" s="3">
        <v>7418512</v>
      </c>
      <c r="CR9" s="3">
        <f t="shared" si="27"/>
        <v>18215641</v>
      </c>
      <c r="CS9" s="3">
        <f t="shared" si="28"/>
        <v>10797129</v>
      </c>
      <c r="CT9" s="32">
        <f t="shared" si="29"/>
        <v>2.4554305499539528</v>
      </c>
      <c r="CV9" s="3">
        <f t="shared" si="30"/>
        <v>9813198.7399999984</v>
      </c>
      <c r="CX9" s="3">
        <f t="shared" si="31"/>
        <v>1854631</v>
      </c>
      <c r="CY9" s="3">
        <f t="shared" si="32"/>
        <v>1854631</v>
      </c>
      <c r="CZ9" s="3">
        <f t="shared" si="33"/>
        <v>2132825.65</v>
      </c>
      <c r="DA9" s="3">
        <f t="shared" si="34"/>
        <v>20348466.649999999</v>
      </c>
    </row>
    <row r="10" spans="1:105" s="26" customFormat="1" ht="16.5" customHeight="1" x14ac:dyDescent="0.3">
      <c r="A10" s="35"/>
      <c r="B10" s="36" t="s">
        <v>9</v>
      </c>
      <c r="D10" s="5">
        <f>SUM(D11)</f>
        <v>1958347</v>
      </c>
      <c r="E10" s="5">
        <f>SUM(E11)</f>
        <v>1799670.54</v>
      </c>
      <c r="F10" s="4">
        <f t="shared" si="0"/>
        <v>-158676.45999999996</v>
      </c>
      <c r="G10" s="37">
        <f t="shared" si="1"/>
        <v>0.91897428800922409</v>
      </c>
      <c r="I10" s="5">
        <f>SUM(I11)</f>
        <v>1949638.7799999998</v>
      </c>
      <c r="J10" s="218"/>
      <c r="K10" s="5">
        <f>SUM(K11)</f>
        <v>1286939</v>
      </c>
      <c r="L10" s="227">
        <f>SUM(L11)</f>
        <v>1473811.05</v>
      </c>
      <c r="M10" s="5">
        <f t="shared" si="35"/>
        <v>186872.05000000005</v>
      </c>
      <c r="N10" s="37">
        <f t="shared" si="2"/>
        <v>1.1452066104143244</v>
      </c>
      <c r="P10" s="5">
        <f>SUM(P11)</f>
        <v>1279887.06</v>
      </c>
      <c r="R10" s="5">
        <f>SUM(R11)</f>
        <v>840317</v>
      </c>
      <c r="S10" s="227">
        <f>SUM(S11)</f>
        <v>1420507.8199999998</v>
      </c>
      <c r="T10" s="5">
        <f t="shared" si="3"/>
        <v>580190.81999999983</v>
      </c>
      <c r="U10" s="37">
        <f t="shared" si="4"/>
        <v>1.6904427971824916</v>
      </c>
      <c r="W10" s="5">
        <f>SUM(W11)</f>
        <v>836236.33</v>
      </c>
      <c r="Y10" s="5">
        <f>SUM(Y11)</f>
        <v>2040999</v>
      </c>
      <c r="Z10" s="227">
        <f>SUM(Z11)</f>
        <v>1460484.18</v>
      </c>
      <c r="AA10" s="5">
        <f t="shared" si="5"/>
        <v>-580514.82000000007</v>
      </c>
      <c r="AB10" s="37">
        <f t="shared" si="6"/>
        <v>0.71557319724311474</v>
      </c>
      <c r="AD10" s="5">
        <f>SUM(AD11)</f>
        <v>2031087.19</v>
      </c>
      <c r="AF10" s="5">
        <f>SUM(AF11)</f>
        <v>1534385</v>
      </c>
      <c r="AG10" s="5">
        <f>SUM(AG11)</f>
        <v>1658080.4</v>
      </c>
      <c r="AH10" s="5">
        <f t="shared" si="7"/>
        <v>123695.39999999991</v>
      </c>
      <c r="AI10" s="37">
        <f t="shared" si="8"/>
        <v>1.080615621242387</v>
      </c>
      <c r="AK10" s="5">
        <f>SUM(AK11)</f>
        <v>1526933.9699999997</v>
      </c>
      <c r="AM10" s="5">
        <f>SUM(AM11)</f>
        <v>2987372</v>
      </c>
      <c r="AN10" s="227">
        <f>SUM(AN11)</f>
        <v>1484699.02</v>
      </c>
      <c r="AO10" s="5">
        <f t="shared" si="9"/>
        <v>-1502672.98</v>
      </c>
      <c r="AP10" s="37">
        <f t="shared" si="10"/>
        <v>0.49699167696557378</v>
      </c>
      <c r="AR10" s="5">
        <f>SUM(AR11)</f>
        <v>2972864.36</v>
      </c>
      <c r="AT10" s="5">
        <f>SUM(AT11)</f>
        <v>1798498</v>
      </c>
      <c r="AU10" s="5">
        <f>SUM(AU11)</f>
        <v>1591223.78</v>
      </c>
      <c r="AV10" s="5">
        <f t="shared" si="11"/>
        <v>-207274.21999999997</v>
      </c>
      <c r="AW10" s="37">
        <f t="shared" si="12"/>
        <v>0.88475148707421414</v>
      </c>
      <c r="AY10" s="5">
        <f>SUM(AY11)</f>
        <v>1789763.87</v>
      </c>
      <c r="BA10" s="5">
        <f>SUM(BA11)</f>
        <v>1407659</v>
      </c>
      <c r="BB10" s="227">
        <f>SUM(BB11)</f>
        <v>1943431.95</v>
      </c>
      <c r="BC10" s="227">
        <f t="shared" si="13"/>
        <v>535772.94999999995</v>
      </c>
      <c r="BD10" s="37">
        <f t="shared" si="14"/>
        <v>1.3806127407276905</v>
      </c>
      <c r="BF10" s="5">
        <f>2919710.24-1519693.46</f>
        <v>1400016.7800000003</v>
      </c>
      <c r="BH10" s="4">
        <f>SUM(BH11)</f>
        <v>1082150</v>
      </c>
      <c r="BI10" s="227">
        <f>SUM(BI11)</f>
        <v>1363537.9199999999</v>
      </c>
      <c r="BJ10" s="227">
        <f t="shared" si="15"/>
        <v>281387.91999999993</v>
      </c>
      <c r="BK10" s="37">
        <f t="shared" si="16"/>
        <v>1.2600267245760752</v>
      </c>
      <c r="BM10" s="231">
        <f>SUM(BM11)</f>
        <v>1512866.0300000003</v>
      </c>
      <c r="BO10" s="4">
        <f>SUM(BO11)</f>
        <v>2577962</v>
      </c>
      <c r="BP10" s="5">
        <f>SUM(BP11)</f>
        <v>1613311.06</v>
      </c>
      <c r="BQ10" s="5">
        <f t="shared" si="17"/>
        <v>-964650.94</v>
      </c>
      <c r="BR10" s="37">
        <f t="shared" si="18"/>
        <v>0.62580870470549999</v>
      </c>
      <c r="BT10" s="5">
        <f>SUM(BT11)</f>
        <v>1314081.8500000001</v>
      </c>
      <c r="BV10" s="4">
        <f>SUM(BV11)</f>
        <v>2365815</v>
      </c>
      <c r="BW10" s="5">
        <f>SUM(BW11)</f>
        <v>2282830.9900000002</v>
      </c>
      <c r="BX10" s="5">
        <f t="shared" si="19"/>
        <v>-82984.009999999776</v>
      </c>
      <c r="BY10" s="37">
        <f t="shared" si="20"/>
        <v>0.96492371127919985</v>
      </c>
      <c r="CA10" s="4">
        <f>SUM(CA11)</f>
        <v>1634334.0099999998</v>
      </c>
      <c r="CC10" s="4">
        <f>SUM(CC11)</f>
        <v>2803774</v>
      </c>
      <c r="CD10" s="5">
        <f>SUM(CD11)</f>
        <v>2142071.04</v>
      </c>
      <c r="CE10" s="5">
        <f t="shared" si="21"/>
        <v>-661702.96</v>
      </c>
      <c r="CF10" s="37">
        <f t="shared" si="22"/>
        <v>0.76399561448247966</v>
      </c>
      <c r="CH10" s="4">
        <f>SUM(CH11)</f>
        <v>1650244.5899999999</v>
      </c>
      <c r="CJ10" s="228">
        <f t="shared" si="23"/>
        <v>22684217</v>
      </c>
      <c r="CK10" s="5">
        <f t="shared" si="23"/>
        <v>20233659.75</v>
      </c>
      <c r="CL10" s="5">
        <f t="shared" si="24"/>
        <v>-2450557.25</v>
      </c>
      <c r="CM10" s="37">
        <f t="shared" si="25"/>
        <v>0.89197082491319846</v>
      </c>
      <c r="CO10" s="4">
        <f t="shared" si="26"/>
        <v>16949538.960000001</v>
      </c>
      <c r="CQ10" s="5">
        <v>22684217</v>
      </c>
      <c r="CR10" s="5">
        <f t="shared" si="27"/>
        <v>20233659.75</v>
      </c>
      <c r="CS10" s="5">
        <f t="shared" si="28"/>
        <v>-2450557.25</v>
      </c>
      <c r="CT10" s="37">
        <f t="shared" si="29"/>
        <v>0.89197082491319846</v>
      </c>
      <c r="CV10" s="5">
        <f t="shared" si="30"/>
        <v>19897954.82</v>
      </c>
      <c r="CX10" s="5">
        <f t="shared" si="31"/>
        <v>7747551</v>
      </c>
      <c r="CY10" s="5">
        <f t="shared" si="32"/>
        <v>7747551</v>
      </c>
      <c r="CZ10" s="5">
        <f t="shared" si="33"/>
        <v>8909683.6499999985</v>
      </c>
      <c r="DA10" s="5">
        <f t="shared" si="34"/>
        <v>29143343.399999999</v>
      </c>
    </row>
    <row r="11" spans="1:105" s="31" customFormat="1" ht="16.5" customHeight="1" x14ac:dyDescent="0.3">
      <c r="A11" s="29">
        <v>16</v>
      </c>
      <c r="B11" s="30" t="s">
        <v>10</v>
      </c>
      <c r="D11" s="3">
        <v>1958347</v>
      </c>
      <c r="E11" s="3">
        <v>1799670.54</v>
      </c>
      <c r="F11" s="3">
        <f t="shared" si="0"/>
        <v>-158676.45999999996</v>
      </c>
      <c r="G11" s="32">
        <f t="shared" si="1"/>
        <v>0.91897428800922409</v>
      </c>
      <c r="I11" s="3">
        <f>6077000.34-4127361.56</f>
        <v>1949638.7799999998</v>
      </c>
      <c r="J11" s="221"/>
      <c r="K11" s="33">
        <v>1286939</v>
      </c>
      <c r="L11" s="222">
        <v>1473811.05</v>
      </c>
      <c r="M11" s="3">
        <f t="shared" si="35"/>
        <v>186872.05000000005</v>
      </c>
      <c r="N11" s="32">
        <f t="shared" si="2"/>
        <v>1.1452066104143244</v>
      </c>
      <c r="P11" s="3">
        <f>2853637.46-1573750.4</f>
        <v>1279887.06</v>
      </c>
      <c r="R11" s="3">
        <v>840317</v>
      </c>
      <c r="S11" s="223">
        <v>1420507.8199999998</v>
      </c>
      <c r="T11" s="3">
        <f t="shared" si="3"/>
        <v>580190.81999999983</v>
      </c>
      <c r="U11" s="32">
        <f t="shared" si="4"/>
        <v>1.6904427971824916</v>
      </c>
      <c r="W11" s="3">
        <f>1768653.74-932417.41</f>
        <v>836236.33</v>
      </c>
      <c r="Y11" s="3">
        <v>2040999</v>
      </c>
      <c r="Z11" s="223">
        <v>1460484.18</v>
      </c>
      <c r="AA11" s="3">
        <f t="shared" si="5"/>
        <v>-580514.82000000007</v>
      </c>
      <c r="AB11" s="32">
        <f t="shared" si="6"/>
        <v>0.71557319724311474</v>
      </c>
      <c r="AD11" s="3">
        <f>5067761.09-3036673.9</f>
        <v>2031087.19</v>
      </c>
      <c r="AF11" s="3">
        <v>1534385</v>
      </c>
      <c r="AG11" s="3">
        <v>1658080.4</v>
      </c>
      <c r="AH11" s="3">
        <f t="shared" si="7"/>
        <v>123695.39999999991</v>
      </c>
      <c r="AI11" s="32">
        <f t="shared" si="8"/>
        <v>1.080615621242387</v>
      </c>
      <c r="AK11" s="3">
        <f>3331541.28-1804607.31</f>
        <v>1526933.9699999997</v>
      </c>
      <c r="AM11" s="3">
        <v>2987372</v>
      </c>
      <c r="AN11" s="222">
        <v>1484699.02</v>
      </c>
      <c r="AO11" s="3">
        <f t="shared" si="9"/>
        <v>-1502672.98</v>
      </c>
      <c r="AP11" s="32">
        <f t="shared" si="10"/>
        <v>0.49699167696557378</v>
      </c>
      <c r="AR11" s="3">
        <f>6388440.22-3415575.86</f>
        <v>2972864.36</v>
      </c>
      <c r="AT11" s="3">
        <v>1798498</v>
      </c>
      <c r="AU11" s="3">
        <v>1591223.78</v>
      </c>
      <c r="AV11" s="3">
        <f t="shared" si="11"/>
        <v>-207274.21999999997</v>
      </c>
      <c r="AW11" s="32">
        <f t="shared" si="12"/>
        <v>0.88475148707421414</v>
      </c>
      <c r="AY11" s="3">
        <f>7273648.76-5483884.89</f>
        <v>1789763.87</v>
      </c>
      <c r="BA11" s="3">
        <v>1407659</v>
      </c>
      <c r="BB11" s="232">
        <v>1943431.95</v>
      </c>
      <c r="BC11" s="222">
        <f t="shared" si="13"/>
        <v>535772.94999999995</v>
      </c>
      <c r="BD11" s="32">
        <f t="shared" si="14"/>
        <v>1.3806127407276905</v>
      </c>
      <c r="BF11" s="3">
        <f>2919710.24-1519693.46</f>
        <v>1400016.7800000003</v>
      </c>
      <c r="BH11" s="3">
        <v>1082150</v>
      </c>
      <c r="BI11" s="232">
        <v>1363537.9199999999</v>
      </c>
      <c r="BJ11" s="222">
        <f t="shared" si="15"/>
        <v>281387.91999999993</v>
      </c>
      <c r="BK11" s="32">
        <f t="shared" si="16"/>
        <v>1.2600267245760752</v>
      </c>
      <c r="BM11" s="224">
        <f>2907530.45-1394664.42</f>
        <v>1512866.0300000003</v>
      </c>
      <c r="BN11" s="229"/>
      <c r="BO11" s="3">
        <v>2577962</v>
      </c>
      <c r="BP11" s="3">
        <v>1613311.06</v>
      </c>
      <c r="BQ11" s="3">
        <f t="shared" si="17"/>
        <v>-964650.94</v>
      </c>
      <c r="BR11" s="32">
        <f t="shared" si="18"/>
        <v>0.62580870470549999</v>
      </c>
      <c r="BT11" s="3">
        <f>4494416.13-3180334.28</f>
        <v>1314081.8500000001</v>
      </c>
      <c r="BV11" s="3">
        <v>2365815</v>
      </c>
      <c r="BW11" s="34">
        <v>2282830.9900000002</v>
      </c>
      <c r="BX11" s="3">
        <f t="shared" si="19"/>
        <v>-82984.009999999776</v>
      </c>
      <c r="BY11" s="32">
        <f t="shared" si="20"/>
        <v>0.96492371127919985</v>
      </c>
      <c r="CA11" s="3">
        <f>6829619.08-5195285.07</f>
        <v>1634334.0099999998</v>
      </c>
      <c r="CC11" s="3">
        <v>2803774</v>
      </c>
      <c r="CD11" s="3">
        <v>2142071.04</v>
      </c>
      <c r="CE11" s="3">
        <f t="shared" si="21"/>
        <v>-661702.96</v>
      </c>
      <c r="CF11" s="32">
        <f t="shared" si="22"/>
        <v>0.76399561448247966</v>
      </c>
      <c r="CH11" s="3">
        <f>7378499.52-5728254.93</f>
        <v>1650244.5899999999</v>
      </c>
      <c r="CJ11" s="225">
        <f t="shared" si="23"/>
        <v>22684217</v>
      </c>
      <c r="CK11" s="3">
        <f t="shared" si="23"/>
        <v>20233659.75</v>
      </c>
      <c r="CL11" s="3">
        <f t="shared" si="24"/>
        <v>-2450557.25</v>
      </c>
      <c r="CM11" s="32">
        <f t="shared" si="25"/>
        <v>0.89197082491319846</v>
      </c>
      <c r="CO11" s="3">
        <f t="shared" si="26"/>
        <v>16949538.960000001</v>
      </c>
      <c r="CQ11" s="3">
        <v>22684217</v>
      </c>
      <c r="CR11" s="3">
        <f t="shared" si="27"/>
        <v>20233659.75</v>
      </c>
      <c r="CS11" s="3">
        <f t="shared" si="28"/>
        <v>-2450557.25</v>
      </c>
      <c r="CT11" s="32">
        <f t="shared" si="29"/>
        <v>0.89197082491319846</v>
      </c>
      <c r="CV11" s="3">
        <f t="shared" si="30"/>
        <v>19897954.82</v>
      </c>
      <c r="CX11" s="3">
        <f t="shared" si="31"/>
        <v>7747551</v>
      </c>
      <c r="CY11" s="3">
        <f t="shared" si="32"/>
        <v>7747551</v>
      </c>
      <c r="CZ11" s="3">
        <f t="shared" si="33"/>
        <v>8909683.6499999985</v>
      </c>
      <c r="DA11" s="3">
        <f t="shared" si="34"/>
        <v>29143343.399999999</v>
      </c>
    </row>
    <row r="12" spans="1:105" s="26" customFormat="1" ht="16.5" customHeight="1" x14ac:dyDescent="0.3">
      <c r="A12" s="35"/>
      <c r="B12" s="36" t="s">
        <v>11</v>
      </c>
      <c r="D12" s="5">
        <f>SUM(D13)</f>
        <v>105637</v>
      </c>
      <c r="E12" s="5">
        <f>SUM(E13)</f>
        <v>199823.06</v>
      </c>
      <c r="F12" s="4">
        <f t="shared" si="0"/>
        <v>94186.06</v>
      </c>
      <c r="G12" s="37">
        <f t="shared" si="1"/>
        <v>1.8916010488749206</v>
      </c>
      <c r="I12" s="5">
        <f>SUM(I13)</f>
        <v>193075.11000000002</v>
      </c>
      <c r="J12" s="218"/>
      <c r="K12" s="5">
        <f>SUM(K13)</f>
        <v>95956</v>
      </c>
      <c r="L12" s="227">
        <f>SUM(L13)</f>
        <v>241989.83000000002</v>
      </c>
      <c r="M12" s="5">
        <f t="shared" si="35"/>
        <v>146033.83000000002</v>
      </c>
      <c r="N12" s="37">
        <f t="shared" si="2"/>
        <v>2.5218832589937055</v>
      </c>
      <c r="P12" s="5">
        <f>SUM(P13)</f>
        <v>175381.96</v>
      </c>
      <c r="R12" s="5">
        <f>SUM(R13)</f>
        <v>51457</v>
      </c>
      <c r="S12" s="227">
        <f>SUM(S13)</f>
        <v>227166.82</v>
      </c>
      <c r="T12" s="5">
        <f t="shared" si="3"/>
        <v>175709.82</v>
      </c>
      <c r="U12" s="37">
        <f t="shared" si="4"/>
        <v>4.414692267330004</v>
      </c>
      <c r="W12" s="5">
        <f>SUM(W13)</f>
        <v>94049.77</v>
      </c>
      <c r="Y12" s="5">
        <f>SUM(Y13)</f>
        <v>185874</v>
      </c>
      <c r="Z12" s="227">
        <f>SUM(Z13)</f>
        <v>212678.55</v>
      </c>
      <c r="AA12" s="5">
        <f t="shared" si="5"/>
        <v>26804.549999999988</v>
      </c>
      <c r="AB12" s="37">
        <f t="shared" si="6"/>
        <v>1.1442081732786726</v>
      </c>
      <c r="AD12" s="5">
        <f>SUM(AD13)</f>
        <v>339725.47</v>
      </c>
      <c r="AF12" s="5">
        <f>SUM(AF13)</f>
        <v>110193</v>
      </c>
      <c r="AG12" s="5">
        <f>SUM(AG13)</f>
        <v>152834.35999999999</v>
      </c>
      <c r="AH12" s="5">
        <f t="shared" si="7"/>
        <v>42641.359999999986</v>
      </c>
      <c r="AI12" s="37">
        <f t="shared" si="8"/>
        <v>1.3869697712195874</v>
      </c>
      <c r="AK12" s="5">
        <f>SUM(AK13)</f>
        <v>201401.84</v>
      </c>
      <c r="AM12" s="5">
        <f>SUM(AM13)</f>
        <v>244980</v>
      </c>
      <c r="AN12" s="227">
        <f>SUM(AN13)</f>
        <v>146646.29</v>
      </c>
      <c r="AO12" s="5">
        <f t="shared" si="9"/>
        <v>-98333.709999999992</v>
      </c>
      <c r="AP12" s="37">
        <f t="shared" si="10"/>
        <v>0.59860515144093396</v>
      </c>
      <c r="AR12" s="5">
        <f>SUM(AR13)</f>
        <v>447754.01</v>
      </c>
      <c r="AT12" s="5">
        <f>SUM(AT13)</f>
        <v>272990</v>
      </c>
      <c r="AU12" s="5">
        <f>SUM(AU13)</f>
        <v>188364.73</v>
      </c>
      <c r="AV12" s="5">
        <f t="shared" si="11"/>
        <v>-84625.26999999999</v>
      </c>
      <c r="AW12" s="37">
        <f t="shared" si="12"/>
        <v>0.69000597091468552</v>
      </c>
      <c r="AY12" s="5">
        <f>SUM(AY13)</f>
        <v>498949.1</v>
      </c>
      <c r="BA12" s="5">
        <f>SUM(BA13)</f>
        <v>92358</v>
      </c>
      <c r="BB12" s="227">
        <f>SUM(BB13)</f>
        <v>167343.78</v>
      </c>
      <c r="BC12" s="227">
        <f t="shared" si="13"/>
        <v>74985.78</v>
      </c>
      <c r="BD12" s="37">
        <f t="shared" si="14"/>
        <v>1.811903462612876</v>
      </c>
      <c r="BF12" s="5">
        <f>SUM(BF13)</f>
        <v>168805.11</v>
      </c>
      <c r="BH12" s="4">
        <f>SUM(BH13)</f>
        <v>121880</v>
      </c>
      <c r="BI12" s="227">
        <f>SUM(BI13)</f>
        <v>97361.14</v>
      </c>
      <c r="BJ12" s="227">
        <f t="shared" si="15"/>
        <v>-24518.86</v>
      </c>
      <c r="BK12" s="37">
        <f t="shared" si="16"/>
        <v>0.79882786347226775</v>
      </c>
      <c r="BM12" s="231">
        <f>SUM(BM13)</f>
        <v>155714.82999999999</v>
      </c>
      <c r="BO12" s="4">
        <f>SUM(BO13)</f>
        <v>194248</v>
      </c>
      <c r="BP12" s="5">
        <f>SUM(BP13)</f>
        <v>126348.9</v>
      </c>
      <c r="BQ12" s="5">
        <f t="shared" si="17"/>
        <v>-67899.100000000006</v>
      </c>
      <c r="BR12" s="37">
        <f t="shared" si="18"/>
        <v>0.65045148469997116</v>
      </c>
      <c r="BT12" s="5">
        <f>SUM(BT13)</f>
        <v>201967.45</v>
      </c>
      <c r="BV12" s="4">
        <f>SUM(BV13)</f>
        <v>346282</v>
      </c>
      <c r="BW12" s="5">
        <f>SUM(BW13)</f>
        <v>242510.5</v>
      </c>
      <c r="BX12" s="5">
        <f t="shared" si="19"/>
        <v>-103771.5</v>
      </c>
      <c r="BY12" s="37">
        <f t="shared" si="20"/>
        <v>0.70032661241415961</v>
      </c>
      <c r="CA12" s="4">
        <f>SUM(CA13)</f>
        <v>356675.67000000004</v>
      </c>
      <c r="CC12" s="4">
        <f>SUM(CC13)</f>
        <v>304266</v>
      </c>
      <c r="CD12" s="4">
        <f>SUM(CD13)</f>
        <v>287000.28999999998</v>
      </c>
      <c r="CE12" s="5">
        <f t="shared" si="21"/>
        <v>-17265.710000000021</v>
      </c>
      <c r="CF12" s="37">
        <f t="shared" si="22"/>
        <v>0.94325455358140564</v>
      </c>
      <c r="CH12" s="4">
        <f>SUM(CH13)</f>
        <v>286082.65999999997</v>
      </c>
      <c r="CJ12" s="228">
        <f t="shared" si="23"/>
        <v>2126121</v>
      </c>
      <c r="CK12" s="5">
        <f t="shared" si="23"/>
        <v>2290068.2499999995</v>
      </c>
      <c r="CL12" s="5">
        <f t="shared" si="24"/>
        <v>163947.24999999953</v>
      </c>
      <c r="CM12" s="37">
        <f t="shared" si="25"/>
        <v>1.0771109687548355</v>
      </c>
      <c r="CO12" s="4">
        <f t="shared" si="26"/>
        <v>2560939.8600000003</v>
      </c>
      <c r="CQ12" s="5">
        <v>2126121</v>
      </c>
      <c r="CR12" s="5">
        <f t="shared" si="27"/>
        <v>2290068.2499999995</v>
      </c>
      <c r="CS12" s="5">
        <f t="shared" si="28"/>
        <v>163947.24999999953</v>
      </c>
      <c r="CT12" s="37">
        <f t="shared" si="29"/>
        <v>1.0771109687548355</v>
      </c>
      <c r="CV12" s="5">
        <f t="shared" si="30"/>
        <v>3119582.9800000004</v>
      </c>
      <c r="CX12" s="5">
        <f t="shared" si="31"/>
        <v>844796</v>
      </c>
      <c r="CY12" s="5">
        <f t="shared" si="32"/>
        <v>844796</v>
      </c>
      <c r="CZ12" s="5">
        <f t="shared" si="33"/>
        <v>971515.39999999991</v>
      </c>
      <c r="DA12" s="5">
        <f t="shared" si="34"/>
        <v>3261583.6499999994</v>
      </c>
    </row>
    <row r="13" spans="1:105" s="31" customFormat="1" ht="16.5" customHeight="1" x14ac:dyDescent="0.3">
      <c r="A13" s="29">
        <v>17</v>
      </c>
      <c r="B13" s="30" t="s">
        <v>12</v>
      </c>
      <c r="D13" s="3">
        <v>105637</v>
      </c>
      <c r="E13" s="3">
        <v>199823.06</v>
      </c>
      <c r="F13" s="3">
        <f t="shared" si="0"/>
        <v>94186.06</v>
      </c>
      <c r="G13" s="32">
        <f t="shared" si="1"/>
        <v>1.8916010488749206</v>
      </c>
      <c r="I13" s="3">
        <f>196924.26-3849.15</f>
        <v>193075.11000000002</v>
      </c>
      <c r="J13" s="221"/>
      <c r="K13" s="33">
        <v>95956</v>
      </c>
      <c r="L13" s="222">
        <v>241989.83000000002</v>
      </c>
      <c r="M13" s="3">
        <f t="shared" si="35"/>
        <v>146033.83000000002</v>
      </c>
      <c r="N13" s="32">
        <f t="shared" si="2"/>
        <v>2.5218832589937055</v>
      </c>
      <c r="P13" s="3">
        <f>182937.8-7555.84</f>
        <v>175381.96</v>
      </c>
      <c r="R13" s="3">
        <v>51457</v>
      </c>
      <c r="S13" s="223">
        <v>227166.82</v>
      </c>
      <c r="T13" s="3">
        <f t="shared" si="3"/>
        <v>175709.82</v>
      </c>
      <c r="U13" s="32">
        <f t="shared" si="4"/>
        <v>4.414692267330004</v>
      </c>
      <c r="W13" s="3">
        <v>94049.77</v>
      </c>
      <c r="Y13" s="3">
        <v>185874</v>
      </c>
      <c r="Z13" s="223">
        <v>212678.55</v>
      </c>
      <c r="AA13" s="3">
        <f t="shared" si="5"/>
        <v>26804.549999999988</v>
      </c>
      <c r="AB13" s="32">
        <f t="shared" si="6"/>
        <v>1.1442081732786726</v>
      </c>
      <c r="AD13" s="3">
        <v>339725.47</v>
      </c>
      <c r="AF13" s="3">
        <v>110193</v>
      </c>
      <c r="AG13" s="3">
        <v>152834.35999999999</v>
      </c>
      <c r="AH13" s="3">
        <f t="shared" si="7"/>
        <v>42641.359999999986</v>
      </c>
      <c r="AI13" s="32">
        <f t="shared" si="8"/>
        <v>1.3869697712195874</v>
      </c>
      <c r="AK13" s="3">
        <f>202898.34-1496.5</f>
        <v>201401.84</v>
      </c>
      <c r="AM13" s="3">
        <v>244980</v>
      </c>
      <c r="AN13" s="222">
        <v>146646.29</v>
      </c>
      <c r="AO13" s="3">
        <f t="shared" si="9"/>
        <v>-98333.709999999992</v>
      </c>
      <c r="AP13" s="32">
        <f t="shared" si="10"/>
        <v>0.59860515144093396</v>
      </c>
      <c r="AR13" s="3">
        <f>448389-634.99</f>
        <v>447754.01</v>
      </c>
      <c r="AT13" s="3">
        <v>272990</v>
      </c>
      <c r="AU13" s="3">
        <v>188364.73</v>
      </c>
      <c r="AV13" s="3">
        <f t="shared" si="11"/>
        <v>-84625.26999999999</v>
      </c>
      <c r="AW13" s="32">
        <f t="shared" si="12"/>
        <v>0.69000597091468552</v>
      </c>
      <c r="AY13" s="3">
        <f>507258.48-8309.38</f>
        <v>498949.1</v>
      </c>
      <c r="BA13" s="3">
        <v>92358</v>
      </c>
      <c r="BB13" s="222">
        <v>167343.78</v>
      </c>
      <c r="BC13" s="222">
        <f t="shared" si="13"/>
        <v>74985.78</v>
      </c>
      <c r="BD13" s="32">
        <f t="shared" si="14"/>
        <v>1.811903462612876</v>
      </c>
      <c r="BF13" s="3">
        <f>169459.3-654.19</f>
        <v>168805.11</v>
      </c>
      <c r="BH13" s="3">
        <v>121880</v>
      </c>
      <c r="BI13" s="222">
        <v>97361.14</v>
      </c>
      <c r="BJ13" s="222">
        <f t="shared" si="15"/>
        <v>-24518.86</v>
      </c>
      <c r="BK13" s="32">
        <f t="shared" si="16"/>
        <v>0.79882786347226775</v>
      </c>
      <c r="BM13" s="224">
        <v>155714.82999999999</v>
      </c>
      <c r="BO13" s="3">
        <v>194248</v>
      </c>
      <c r="BP13" s="3">
        <v>126348.9</v>
      </c>
      <c r="BQ13" s="3">
        <f t="shared" si="17"/>
        <v>-67899.100000000006</v>
      </c>
      <c r="BR13" s="32">
        <f t="shared" si="18"/>
        <v>0.65045148469997116</v>
      </c>
      <c r="BT13" s="3">
        <f>204109.79-2142.34</f>
        <v>201967.45</v>
      </c>
      <c r="BV13" s="3">
        <v>346282</v>
      </c>
      <c r="BW13" s="34">
        <v>242510.5</v>
      </c>
      <c r="BX13" s="3">
        <f t="shared" si="19"/>
        <v>-103771.5</v>
      </c>
      <c r="BY13" s="32">
        <f t="shared" si="20"/>
        <v>0.70032661241415961</v>
      </c>
      <c r="CA13" s="3">
        <f>356689.28-13.61</f>
        <v>356675.67000000004</v>
      </c>
      <c r="CC13" s="3">
        <v>304266</v>
      </c>
      <c r="CD13" s="3">
        <v>287000.28999999998</v>
      </c>
      <c r="CE13" s="3">
        <f t="shared" si="21"/>
        <v>-17265.710000000021</v>
      </c>
      <c r="CF13" s="32">
        <f t="shared" si="22"/>
        <v>0.94325455358140564</v>
      </c>
      <c r="CH13" s="3">
        <f>287505.16-1422.5</f>
        <v>286082.65999999997</v>
      </c>
      <c r="CJ13" s="225">
        <f t="shared" si="23"/>
        <v>2126121</v>
      </c>
      <c r="CK13" s="3">
        <f t="shared" si="23"/>
        <v>2290068.2499999995</v>
      </c>
      <c r="CL13" s="3">
        <f t="shared" si="24"/>
        <v>163947.24999999953</v>
      </c>
      <c r="CM13" s="32">
        <f t="shared" si="25"/>
        <v>1.0771109687548355</v>
      </c>
      <c r="CO13" s="3">
        <f t="shared" si="26"/>
        <v>2560939.8600000003</v>
      </c>
      <c r="CQ13" s="3">
        <v>2126121</v>
      </c>
      <c r="CR13" s="3">
        <f t="shared" si="27"/>
        <v>2290068.2499999995</v>
      </c>
      <c r="CS13" s="3">
        <f t="shared" si="28"/>
        <v>163947.24999999953</v>
      </c>
      <c r="CT13" s="32">
        <f t="shared" si="29"/>
        <v>1.0771109687548355</v>
      </c>
      <c r="CV13" s="3">
        <f t="shared" si="30"/>
        <v>3119582.9800000004</v>
      </c>
      <c r="CX13" s="3">
        <f t="shared" si="31"/>
        <v>844796</v>
      </c>
      <c r="CY13" s="3">
        <f t="shared" si="32"/>
        <v>844796</v>
      </c>
      <c r="CZ13" s="3">
        <f t="shared" si="33"/>
        <v>971515.39999999991</v>
      </c>
      <c r="DA13" s="3">
        <f t="shared" si="34"/>
        <v>3261583.6499999994</v>
      </c>
    </row>
    <row r="14" spans="1:105" s="26" customFormat="1" ht="16.5" customHeight="1" x14ac:dyDescent="0.3">
      <c r="A14" s="35"/>
      <c r="B14" s="36" t="s">
        <v>13</v>
      </c>
      <c r="D14" s="4">
        <f>SUM(D15:D17)</f>
        <v>6884102</v>
      </c>
      <c r="E14" s="4">
        <f>SUM(E15:E17)</f>
        <v>9571474.9000000004</v>
      </c>
      <c r="F14" s="4">
        <f t="shared" si="0"/>
        <v>2687372.9000000004</v>
      </c>
      <c r="G14" s="37">
        <f t="shared" si="1"/>
        <v>1.3903737771462423</v>
      </c>
      <c r="I14" s="5">
        <f>SUM(I15:I17)</f>
        <v>16333634.540000001</v>
      </c>
      <c r="J14" s="218"/>
      <c r="K14" s="4">
        <f>SUM(K15:K17)</f>
        <v>4085160</v>
      </c>
      <c r="L14" s="226">
        <f>SUM(L15:L17)</f>
        <v>4960256.07</v>
      </c>
      <c r="M14" s="5">
        <f t="shared" si="35"/>
        <v>875096.0700000003</v>
      </c>
      <c r="N14" s="37">
        <f t="shared" si="2"/>
        <v>1.2142134139176923</v>
      </c>
      <c r="P14" s="5">
        <f>SUM(P15:P17)</f>
        <v>6940611.0300000003</v>
      </c>
      <c r="R14" s="4">
        <f>SUM(R15:R17)</f>
        <v>2034540</v>
      </c>
      <c r="S14" s="226">
        <f>SUM(S15:S17)</f>
        <v>3707755.2499999995</v>
      </c>
      <c r="T14" s="5">
        <f t="shared" si="3"/>
        <v>1673215.2499999995</v>
      </c>
      <c r="U14" s="37">
        <f t="shared" si="4"/>
        <v>1.8224046959017761</v>
      </c>
      <c r="W14" s="5">
        <f>SUM(W15:W17)</f>
        <v>2237068.5699999998</v>
      </c>
      <c r="Y14" s="4">
        <f>SUM(Y15:Y17)</f>
        <v>4730119</v>
      </c>
      <c r="Z14" s="226">
        <f>SUM(Z15:Z17)</f>
        <v>18276307.739999998</v>
      </c>
      <c r="AA14" s="5">
        <f t="shared" si="5"/>
        <v>13546188.739999998</v>
      </c>
      <c r="AB14" s="37">
        <f t="shared" si="6"/>
        <v>3.8638156333910412</v>
      </c>
      <c r="AD14" s="5">
        <f>SUM(AD15:AD17)</f>
        <v>8824602.9000000004</v>
      </c>
      <c r="AF14" s="4">
        <f>SUM(AF15:AF17)</f>
        <v>2917768</v>
      </c>
      <c r="AG14" s="4">
        <f>SUM(AG15:AG17)</f>
        <v>4648847.21</v>
      </c>
      <c r="AH14" s="5">
        <f t="shared" si="7"/>
        <v>1731079.21</v>
      </c>
      <c r="AI14" s="37">
        <f t="shared" si="8"/>
        <v>1.5932888461317007</v>
      </c>
      <c r="AK14" s="5">
        <f>SUM(AK15:AK17)</f>
        <v>3987745.7399999998</v>
      </c>
      <c r="AM14" s="4">
        <f>SUM(AM15:AM17)</f>
        <v>3426351</v>
      </c>
      <c r="AN14" s="226">
        <f>SUM(AN15:AN17)</f>
        <v>2828866.01</v>
      </c>
      <c r="AO14" s="5">
        <f t="shared" si="9"/>
        <v>-597484.99000000022</v>
      </c>
      <c r="AP14" s="37">
        <f t="shared" si="10"/>
        <v>0.82562061213226545</v>
      </c>
      <c r="AR14" s="5">
        <f>SUM(AR15:AR17)</f>
        <v>6454333.3000000007</v>
      </c>
      <c r="AT14" s="4">
        <f>SUM(AT15:AT17)</f>
        <v>4412120</v>
      </c>
      <c r="AU14" s="4">
        <f>SUM(AU15:AU17)</f>
        <v>2546448.0799999996</v>
      </c>
      <c r="AV14" s="5">
        <f t="shared" si="11"/>
        <v>-1865671.9200000004</v>
      </c>
      <c r="AW14" s="37">
        <f t="shared" si="12"/>
        <v>0.57714841844736764</v>
      </c>
      <c r="AY14" s="5">
        <f>SUM(AY15:AY17)</f>
        <v>4295346.3999999994</v>
      </c>
      <c r="BA14" s="5">
        <f>SUM(BA15:BA17)</f>
        <v>2011583</v>
      </c>
      <c r="BB14" s="226">
        <f>SUM(BB15:BB17)</f>
        <v>3568775.46</v>
      </c>
      <c r="BC14" s="227">
        <f t="shared" si="13"/>
        <v>1557192.46</v>
      </c>
      <c r="BD14" s="37">
        <f t="shared" si="14"/>
        <v>1.7741129548221475</v>
      </c>
      <c r="BF14" s="5">
        <f>SUM(BF15:BF17)</f>
        <v>2222471</v>
      </c>
      <c r="BH14" s="4">
        <f>SUM(BH15:BH17)</f>
        <v>1800308</v>
      </c>
      <c r="BI14" s="226">
        <f>SUM(BI15:BI17)</f>
        <v>2298242.6199999996</v>
      </c>
      <c r="BJ14" s="227">
        <f t="shared" si="15"/>
        <v>497934.61999999965</v>
      </c>
      <c r="BK14" s="37">
        <f t="shared" si="16"/>
        <v>1.2765830180169169</v>
      </c>
      <c r="BM14" s="231">
        <f>SUM(BM15:BM17)</f>
        <v>1539512.3499999999</v>
      </c>
      <c r="BO14" s="4">
        <f>SUM(BO15:BO17)</f>
        <v>1792889</v>
      </c>
      <c r="BP14" s="4">
        <f>SUM(BP15:BP17)</f>
        <v>2559165.1500000004</v>
      </c>
      <c r="BQ14" s="5">
        <f t="shared" si="17"/>
        <v>766276.15000000037</v>
      </c>
      <c r="BR14" s="37">
        <f t="shared" si="18"/>
        <v>1.4273974295118104</v>
      </c>
      <c r="BT14" s="5">
        <f>SUM(BT15:BT17)</f>
        <v>2890200.3600000003</v>
      </c>
      <c r="BV14" s="4">
        <f>SUM(BV15:BV17)</f>
        <v>3213496</v>
      </c>
      <c r="BW14" s="4">
        <f>SUM(BW15:BW17)</f>
        <v>3799288.9999999995</v>
      </c>
      <c r="BX14" s="5">
        <f t="shared" si="19"/>
        <v>585792.99999999953</v>
      </c>
      <c r="BY14" s="37">
        <f t="shared" si="20"/>
        <v>1.1822914981067347</v>
      </c>
      <c r="CA14" s="4">
        <f>SUM(CA15:CA17)</f>
        <v>4246678.42</v>
      </c>
      <c r="CC14" s="4">
        <f>SUM(CC15:CC17)</f>
        <v>3032586</v>
      </c>
      <c r="CD14" s="4">
        <f>SUM(CD15:CD17)</f>
        <v>4065215.2600000002</v>
      </c>
      <c r="CE14" s="5">
        <f t="shared" si="21"/>
        <v>1032629.2600000002</v>
      </c>
      <c r="CF14" s="37">
        <f t="shared" si="22"/>
        <v>1.3405111215312608</v>
      </c>
      <c r="CH14" s="4">
        <f>SUM(CH15:CH17)</f>
        <v>3285208.31</v>
      </c>
      <c r="CJ14" s="228">
        <f t="shared" si="23"/>
        <v>40341022</v>
      </c>
      <c r="CK14" s="5">
        <f t="shared" si="23"/>
        <v>62830642.749999985</v>
      </c>
      <c r="CL14" s="5">
        <f t="shared" si="24"/>
        <v>22489620.749999985</v>
      </c>
      <c r="CM14" s="37">
        <f t="shared" si="25"/>
        <v>1.5574876300853258</v>
      </c>
      <c r="CO14" s="4">
        <f t="shared" si="26"/>
        <v>56120534.140000001</v>
      </c>
      <c r="CQ14" s="5">
        <v>40341022</v>
      </c>
      <c r="CR14" s="5">
        <f t="shared" si="27"/>
        <v>62830642.749999985</v>
      </c>
      <c r="CS14" s="5">
        <f t="shared" si="28"/>
        <v>22489620.749999985</v>
      </c>
      <c r="CT14" s="37">
        <f t="shared" si="29"/>
        <v>1.5574876300853258</v>
      </c>
      <c r="CV14" s="5">
        <f t="shared" si="30"/>
        <v>63257412.920000002</v>
      </c>
      <c r="CX14" s="5">
        <f t="shared" si="31"/>
        <v>8038971</v>
      </c>
      <c r="CY14" s="5">
        <f t="shared" si="32"/>
        <v>8038971</v>
      </c>
      <c r="CZ14" s="5">
        <f t="shared" si="33"/>
        <v>9244816.6499999985</v>
      </c>
      <c r="DA14" s="5">
        <f t="shared" si="34"/>
        <v>72075459.399999976</v>
      </c>
    </row>
    <row r="15" spans="1:105" s="31" customFormat="1" ht="16.5" customHeight="1" x14ac:dyDescent="0.3">
      <c r="A15" s="29">
        <v>18</v>
      </c>
      <c r="B15" s="30" t="s">
        <v>6</v>
      </c>
      <c r="D15" s="3">
        <v>4481727</v>
      </c>
      <c r="E15" s="3">
        <v>6649988.5099999998</v>
      </c>
      <c r="F15" s="3">
        <f t="shared" si="0"/>
        <v>2168261.5099999998</v>
      </c>
      <c r="G15" s="32">
        <f t="shared" si="1"/>
        <v>1.4838004434451273</v>
      </c>
      <c r="I15" s="3">
        <f>6337000.08-898404.73</f>
        <v>5438595.3499999996</v>
      </c>
      <c r="J15" s="221"/>
      <c r="K15" s="33">
        <v>1510570</v>
      </c>
      <c r="L15" s="222">
        <v>3092150.16</v>
      </c>
      <c r="M15" s="3">
        <f t="shared" si="35"/>
        <v>1581580.1600000001</v>
      </c>
      <c r="N15" s="32">
        <f t="shared" si="2"/>
        <v>2.0470088509635436</v>
      </c>
      <c r="P15" s="3">
        <f>2065908.47-235269.09</f>
        <v>1830639.38</v>
      </c>
      <c r="R15" s="3">
        <v>1075271</v>
      </c>
      <c r="S15" s="223">
        <v>2194864.0699999998</v>
      </c>
      <c r="T15" s="3">
        <f t="shared" si="3"/>
        <v>1119593.0699999998</v>
      </c>
      <c r="U15" s="32">
        <f t="shared" si="4"/>
        <v>2.0412194414245337</v>
      </c>
      <c r="W15" s="3">
        <f>5379569.76-4075162.26</f>
        <v>1304407.5</v>
      </c>
      <c r="Y15" s="3">
        <v>1533228</v>
      </c>
      <c r="Z15" s="223">
        <v>1871714.32</v>
      </c>
      <c r="AA15" s="3">
        <f t="shared" si="5"/>
        <v>338486.32000000007</v>
      </c>
      <c r="AB15" s="32">
        <f t="shared" si="6"/>
        <v>1.220767113566932</v>
      </c>
      <c r="AD15" s="3">
        <f>3692306.81-1347114.56</f>
        <v>2345192.25</v>
      </c>
      <c r="AF15" s="3">
        <v>1185991</v>
      </c>
      <c r="AG15" s="3">
        <v>1997734.33</v>
      </c>
      <c r="AH15" s="3">
        <f t="shared" si="7"/>
        <v>811743.33000000007</v>
      </c>
      <c r="AI15" s="32">
        <f t="shared" si="8"/>
        <v>1.6844430775612969</v>
      </c>
      <c r="AK15" s="3">
        <f>1641217.72-202495.72</f>
        <v>1438722</v>
      </c>
      <c r="AM15" s="3">
        <v>1223901</v>
      </c>
      <c r="AN15" s="222">
        <v>1360262.75</v>
      </c>
      <c r="AO15" s="3">
        <f t="shared" si="9"/>
        <v>136361.75</v>
      </c>
      <c r="AP15" s="32">
        <f t="shared" si="10"/>
        <v>1.1114156700582809</v>
      </c>
      <c r="AR15" s="3">
        <f>2309078.12-217819.21</f>
        <v>2091258.9100000001</v>
      </c>
      <c r="AT15" s="3">
        <v>3210033</v>
      </c>
      <c r="AU15" s="3">
        <v>1994553.51</v>
      </c>
      <c r="AV15" s="3">
        <f t="shared" si="11"/>
        <v>-1215479.49</v>
      </c>
      <c r="AW15" s="32">
        <f t="shared" si="12"/>
        <v>0.62134984593616327</v>
      </c>
      <c r="AY15" s="3">
        <f>3990542.35-96462.05</f>
        <v>3894080.3000000003</v>
      </c>
      <c r="BA15" s="3">
        <v>1007497</v>
      </c>
      <c r="BB15" s="222">
        <v>2573961.5299999998</v>
      </c>
      <c r="BC15" s="222">
        <f t="shared" si="13"/>
        <v>1566464.5299999998</v>
      </c>
      <c r="BD15" s="32">
        <f t="shared" si="14"/>
        <v>2.5548081334237223</v>
      </c>
      <c r="BF15" s="3">
        <f>1327760.01-105568.67</f>
        <v>1222191.3400000001</v>
      </c>
      <c r="BH15" s="3">
        <v>1145277</v>
      </c>
      <c r="BI15" s="222">
        <v>1887937.39</v>
      </c>
      <c r="BJ15" s="222">
        <f t="shared" si="15"/>
        <v>742660.3899999999</v>
      </c>
      <c r="BK15" s="32">
        <f t="shared" si="16"/>
        <v>1.6484548192271389</v>
      </c>
      <c r="BM15" s="224">
        <f>1276748.36-262679.13</f>
        <v>1014069.2300000001</v>
      </c>
      <c r="BN15" s="229"/>
      <c r="BO15" s="3">
        <v>1328300</v>
      </c>
      <c r="BP15" s="3">
        <v>1733394.75</v>
      </c>
      <c r="BQ15" s="3">
        <f t="shared" si="17"/>
        <v>405094.75</v>
      </c>
      <c r="BR15" s="32">
        <f t="shared" si="18"/>
        <v>1.3049723330572913</v>
      </c>
      <c r="BT15" s="3">
        <f>924610.35-65580.6</f>
        <v>859029.75</v>
      </c>
      <c r="BV15" s="3">
        <v>2902605</v>
      </c>
      <c r="BW15" s="34">
        <v>2483136.5099999998</v>
      </c>
      <c r="BX15" s="3">
        <f t="shared" si="19"/>
        <v>-419468.49000000022</v>
      </c>
      <c r="BY15" s="32">
        <f t="shared" si="20"/>
        <v>0.85548550698424342</v>
      </c>
      <c r="CA15" s="3">
        <f>2886912.16-460612.84</f>
        <v>2426299.3200000003</v>
      </c>
      <c r="CC15" s="3">
        <v>2822675</v>
      </c>
      <c r="CD15" s="3">
        <v>3438195.73</v>
      </c>
      <c r="CE15" s="3">
        <f t="shared" si="21"/>
        <v>615520.73</v>
      </c>
      <c r="CF15" s="32">
        <f t="shared" si="22"/>
        <v>1.218062911954086</v>
      </c>
      <c r="CH15" s="3">
        <f>2538258.13-302452.35</f>
        <v>2235805.7799999998</v>
      </c>
      <c r="CJ15" s="225">
        <f t="shared" si="23"/>
        <v>23427075</v>
      </c>
      <c r="CK15" s="3">
        <f t="shared" si="23"/>
        <v>31277893.560000006</v>
      </c>
      <c r="CL15" s="3">
        <f t="shared" si="24"/>
        <v>7850818.5600000061</v>
      </c>
      <c r="CM15" s="32">
        <f t="shared" si="25"/>
        <v>1.3351173187433774</v>
      </c>
      <c r="CO15" s="3">
        <f t="shared" si="26"/>
        <v>22814962.040000003</v>
      </c>
      <c r="CQ15" s="3">
        <v>23427075</v>
      </c>
      <c r="CR15" s="3">
        <f t="shared" si="27"/>
        <v>31277893.560000006</v>
      </c>
      <c r="CS15" s="3">
        <f t="shared" si="28"/>
        <v>7850818.5600000061</v>
      </c>
      <c r="CT15" s="32">
        <f t="shared" si="29"/>
        <v>1.3351173187433774</v>
      </c>
      <c r="CV15" s="3">
        <f t="shared" si="30"/>
        <v>26100291.110000003</v>
      </c>
      <c r="CX15" s="3">
        <f t="shared" si="31"/>
        <v>7053580</v>
      </c>
      <c r="CY15" s="3">
        <f t="shared" si="32"/>
        <v>7053580</v>
      </c>
      <c r="CZ15" s="3">
        <f t="shared" si="33"/>
        <v>8111616.9999999991</v>
      </c>
      <c r="DA15" s="3">
        <f t="shared" si="34"/>
        <v>39389510.560000002</v>
      </c>
    </row>
    <row r="16" spans="1:105" s="31" customFormat="1" ht="16.5" customHeight="1" x14ac:dyDescent="0.3">
      <c r="A16" s="29"/>
      <c r="B16" s="30" t="s">
        <v>7</v>
      </c>
      <c r="D16" s="3">
        <v>2013425</v>
      </c>
      <c r="E16" s="3">
        <v>2787766.01</v>
      </c>
      <c r="F16" s="3">
        <f t="shared" si="0"/>
        <v>774341.00999999978</v>
      </c>
      <c r="G16" s="32">
        <f t="shared" si="1"/>
        <v>1.3845889516619689</v>
      </c>
      <c r="I16" s="3">
        <f>9846286.65-73.04</f>
        <v>9846213.6100000013</v>
      </c>
      <c r="J16" s="221"/>
      <c r="K16" s="33">
        <v>2516143</v>
      </c>
      <c r="L16" s="222">
        <v>1824400.79</v>
      </c>
      <c r="M16" s="233">
        <f t="shared" si="35"/>
        <v>-691742.21</v>
      </c>
      <c r="N16" s="32">
        <f t="shared" si="2"/>
        <v>0.72507834014203487</v>
      </c>
      <c r="P16" s="3">
        <f>4971925.17-30296.39</f>
        <v>4941628.78</v>
      </c>
      <c r="R16" s="3">
        <v>917407</v>
      </c>
      <c r="S16" s="223">
        <v>1500258.88</v>
      </c>
      <c r="T16" s="3">
        <f t="shared" si="3"/>
        <v>582851.87999999989</v>
      </c>
      <c r="U16" s="32">
        <f t="shared" si="4"/>
        <v>1.6353253027282328</v>
      </c>
      <c r="W16" s="3">
        <v>819775.54</v>
      </c>
      <c r="Y16" s="3">
        <v>2922777</v>
      </c>
      <c r="Z16" s="223">
        <v>16361737.24</v>
      </c>
      <c r="AA16" s="3">
        <f t="shared" si="5"/>
        <v>13438960.24</v>
      </c>
      <c r="AB16" s="32">
        <f t="shared" si="6"/>
        <v>5.5980108095828047</v>
      </c>
      <c r="AD16" s="3">
        <v>5740244.6100000003</v>
      </c>
      <c r="AF16" s="3">
        <v>1554531</v>
      </c>
      <c r="AG16" s="3">
        <v>2651112.88</v>
      </c>
      <c r="AH16" s="3">
        <f t="shared" si="7"/>
        <v>1096581.8799999999</v>
      </c>
      <c r="AI16" s="32">
        <f t="shared" si="8"/>
        <v>1.7054101076144508</v>
      </c>
      <c r="AK16" s="3">
        <f>2076840.41-5772.8</f>
        <v>2071067.6099999999</v>
      </c>
      <c r="AM16" s="3">
        <v>2151223</v>
      </c>
      <c r="AN16" s="222">
        <v>817508.22</v>
      </c>
      <c r="AO16" s="3">
        <f t="shared" si="9"/>
        <v>-1333714.78</v>
      </c>
      <c r="AP16" s="32">
        <f t="shared" si="10"/>
        <v>0.38002021175861356</v>
      </c>
      <c r="AR16" s="3">
        <f>9370525.73-5145588.04</f>
        <v>4224937.6900000004</v>
      </c>
      <c r="AT16" s="3">
        <v>1196122</v>
      </c>
      <c r="AU16" s="3">
        <v>529459.96</v>
      </c>
      <c r="AV16" s="3">
        <f t="shared" si="11"/>
        <v>-666662.04</v>
      </c>
      <c r="AW16" s="32">
        <f t="shared" si="12"/>
        <v>0.44264712128027073</v>
      </c>
      <c r="AY16" s="3">
        <f>385251.58-73.04</f>
        <v>385178.54000000004</v>
      </c>
      <c r="BA16" s="3">
        <v>990051</v>
      </c>
      <c r="BB16" s="222">
        <v>991920.94</v>
      </c>
      <c r="BC16" s="222">
        <f t="shared" si="13"/>
        <v>1869.9399999999441</v>
      </c>
      <c r="BD16" s="32">
        <f t="shared" si="14"/>
        <v>1.0018887309845654</v>
      </c>
      <c r="BF16" s="3">
        <v>962446.22</v>
      </c>
      <c r="BH16" s="3">
        <v>655031</v>
      </c>
      <c r="BI16" s="222">
        <v>393268.58</v>
      </c>
      <c r="BJ16" s="222">
        <f t="shared" si="15"/>
        <v>-261762.41999999998</v>
      </c>
      <c r="BK16" s="32">
        <f t="shared" si="16"/>
        <v>0.60038163079304641</v>
      </c>
      <c r="BM16" s="224">
        <v>497182.73</v>
      </c>
      <c r="BN16" s="229"/>
      <c r="BO16" s="3">
        <v>464589</v>
      </c>
      <c r="BP16" s="3">
        <v>806020.03</v>
      </c>
      <c r="BQ16" s="3">
        <f t="shared" si="17"/>
        <v>341431.03</v>
      </c>
      <c r="BR16" s="32">
        <f t="shared" si="18"/>
        <v>1.7349098450458362</v>
      </c>
      <c r="BT16" s="3">
        <f>1866102.66</f>
        <v>1866102.66</v>
      </c>
      <c r="BV16" s="3">
        <v>310891</v>
      </c>
      <c r="BW16" s="34">
        <v>862687.15</v>
      </c>
      <c r="BX16" s="3">
        <f t="shared" si="19"/>
        <v>551796.15</v>
      </c>
      <c r="BY16" s="32">
        <f t="shared" si="20"/>
        <v>2.7748862141393609</v>
      </c>
      <c r="CA16" s="3">
        <f>1790177</f>
        <v>1790177</v>
      </c>
      <c r="CC16" s="3">
        <v>209911</v>
      </c>
      <c r="CD16" s="3">
        <v>619414.55000000005</v>
      </c>
      <c r="CE16" s="3">
        <f t="shared" si="21"/>
        <v>409503.55000000005</v>
      </c>
      <c r="CF16" s="32">
        <f t="shared" si="22"/>
        <v>2.950843690897571</v>
      </c>
      <c r="CH16" s="3">
        <v>1021285.31</v>
      </c>
      <c r="CJ16" s="225">
        <f t="shared" si="23"/>
        <v>15902101</v>
      </c>
      <c r="CK16" s="3">
        <f t="shared" si="23"/>
        <v>30145555.23</v>
      </c>
      <c r="CL16" s="3">
        <f t="shared" si="24"/>
        <v>14243454.23</v>
      </c>
      <c r="CM16" s="32">
        <f t="shared" si="25"/>
        <v>1.895696375592131</v>
      </c>
      <c r="CO16" s="3">
        <f t="shared" si="26"/>
        <v>30509960.639999997</v>
      </c>
      <c r="CQ16" s="3">
        <v>15902101</v>
      </c>
      <c r="CR16" s="3">
        <f t="shared" si="27"/>
        <v>30145555.23</v>
      </c>
      <c r="CS16" s="3">
        <f t="shared" si="28"/>
        <v>14243454.23</v>
      </c>
      <c r="CT16" s="32">
        <f t="shared" si="29"/>
        <v>1.895696375592131</v>
      </c>
      <c r="CV16" s="3">
        <f t="shared" si="30"/>
        <v>34166240.299999997</v>
      </c>
      <c r="CX16" s="3">
        <f t="shared" si="31"/>
        <v>985391</v>
      </c>
      <c r="CY16" s="3">
        <f t="shared" si="32"/>
        <v>985391</v>
      </c>
      <c r="CZ16" s="3">
        <f t="shared" si="33"/>
        <v>1133199.6499999999</v>
      </c>
      <c r="DA16" s="3">
        <f t="shared" si="34"/>
        <v>31278754.879999999</v>
      </c>
    </row>
    <row r="17" spans="1:105" s="31" customFormat="1" ht="16.5" customHeight="1" x14ac:dyDescent="0.3">
      <c r="A17" s="29"/>
      <c r="B17" s="30" t="s">
        <v>8</v>
      </c>
      <c r="D17" s="3">
        <v>388950</v>
      </c>
      <c r="E17" s="3">
        <v>133720.38</v>
      </c>
      <c r="F17" s="3">
        <f t="shared" si="0"/>
        <v>-255229.62</v>
      </c>
      <c r="G17" s="32">
        <f t="shared" si="1"/>
        <v>0.34379838025453147</v>
      </c>
      <c r="I17" s="3">
        <f>1189136.79-140311.21</f>
        <v>1048825.58</v>
      </c>
      <c r="J17" s="221"/>
      <c r="K17" s="33">
        <v>58447</v>
      </c>
      <c r="L17" s="222">
        <v>43705.120000000003</v>
      </c>
      <c r="M17" s="233">
        <f t="shared" si="35"/>
        <v>-14741.879999999997</v>
      </c>
      <c r="N17" s="32">
        <f t="shared" si="2"/>
        <v>0.74777353841942273</v>
      </c>
      <c r="P17" s="3">
        <v>168342.87</v>
      </c>
      <c r="R17" s="3">
        <v>41862</v>
      </c>
      <c r="S17" s="223">
        <v>12632.3</v>
      </c>
      <c r="T17" s="3">
        <f t="shared" si="3"/>
        <v>-29229.7</v>
      </c>
      <c r="U17" s="32">
        <f t="shared" si="4"/>
        <v>0.30176054655773732</v>
      </c>
      <c r="W17" s="3">
        <v>112885.53</v>
      </c>
      <c r="Y17" s="3">
        <v>274114</v>
      </c>
      <c r="Z17" s="223">
        <v>42856.18</v>
      </c>
      <c r="AA17" s="3">
        <f t="shared" si="5"/>
        <v>-231257.82</v>
      </c>
      <c r="AB17" s="32">
        <f t="shared" si="6"/>
        <v>0.15634436767184456</v>
      </c>
      <c r="AD17" s="3">
        <v>739166.04</v>
      </c>
      <c r="AF17" s="3">
        <v>177246</v>
      </c>
      <c r="AG17" s="3">
        <v>0</v>
      </c>
      <c r="AH17" s="3">
        <f t="shared" si="7"/>
        <v>-177246</v>
      </c>
      <c r="AI17" s="32">
        <f t="shared" si="8"/>
        <v>0</v>
      </c>
      <c r="AK17" s="3">
        <v>477956.13</v>
      </c>
      <c r="AM17" s="3">
        <v>51227</v>
      </c>
      <c r="AN17" s="222">
        <v>651095.04000000004</v>
      </c>
      <c r="AO17" s="3">
        <f t="shared" si="9"/>
        <v>599868.04</v>
      </c>
      <c r="AP17" s="32">
        <f t="shared" si="10"/>
        <v>12.709997462275753</v>
      </c>
      <c r="AR17" s="3">
        <v>138136.70000000001</v>
      </c>
      <c r="AT17" s="3">
        <v>5965</v>
      </c>
      <c r="AU17" s="3">
        <v>22434.61</v>
      </c>
      <c r="AV17" s="3">
        <f t="shared" si="11"/>
        <v>16469.61</v>
      </c>
      <c r="AW17" s="32">
        <f t="shared" si="12"/>
        <v>3.7610410729253982</v>
      </c>
      <c r="AY17" s="3">
        <v>16087.56</v>
      </c>
      <c r="BA17" s="3">
        <v>14035</v>
      </c>
      <c r="BB17" s="222">
        <v>2892.99</v>
      </c>
      <c r="BC17" s="222">
        <f t="shared" si="13"/>
        <v>-11142.01</v>
      </c>
      <c r="BD17" s="32">
        <f t="shared" si="14"/>
        <v>0.2061268257926612</v>
      </c>
      <c r="BF17" s="3">
        <v>37833.440000000002</v>
      </c>
      <c r="BH17" s="3">
        <v>0</v>
      </c>
      <c r="BI17" s="222">
        <v>17036.650000000001</v>
      </c>
      <c r="BJ17" s="222">
        <f t="shared" si="15"/>
        <v>17036.650000000001</v>
      </c>
      <c r="BK17" s="32">
        <f t="shared" si="16"/>
        <v>0</v>
      </c>
      <c r="BM17" s="3">
        <v>28260.39</v>
      </c>
      <c r="BO17" s="3">
        <v>0</v>
      </c>
      <c r="BP17" s="3">
        <v>19750.37</v>
      </c>
      <c r="BQ17" s="3">
        <f t="shared" si="17"/>
        <v>19750.37</v>
      </c>
      <c r="BR17" s="32">
        <f t="shared" si="18"/>
        <v>0</v>
      </c>
      <c r="BT17" s="3">
        <v>165067.95000000001</v>
      </c>
      <c r="BV17" s="3">
        <v>0</v>
      </c>
      <c r="BW17" s="34">
        <v>453465.34</v>
      </c>
      <c r="BX17" s="3">
        <f t="shared" si="19"/>
        <v>453465.34</v>
      </c>
      <c r="BY17" s="32">
        <f t="shared" si="20"/>
        <v>0</v>
      </c>
      <c r="CA17" s="3">
        <v>30202.1</v>
      </c>
      <c r="CC17" s="3">
        <v>0</v>
      </c>
      <c r="CD17" s="3">
        <v>7604.98</v>
      </c>
      <c r="CE17" s="3">
        <f t="shared" si="21"/>
        <v>7604.98</v>
      </c>
      <c r="CF17" s="32">
        <f t="shared" si="22"/>
        <v>0</v>
      </c>
      <c r="CH17" s="3">
        <v>28117.22</v>
      </c>
      <c r="CJ17" s="225">
        <f t="shared" si="23"/>
        <v>1011846</v>
      </c>
      <c r="CK17" s="3">
        <f t="shared" si="23"/>
        <v>1407193.96</v>
      </c>
      <c r="CL17" s="3">
        <f t="shared" si="24"/>
        <v>395347.95999999996</v>
      </c>
      <c r="CM17" s="32">
        <f t="shared" si="25"/>
        <v>1.3907194968404282</v>
      </c>
      <c r="CO17" s="3">
        <f t="shared" si="26"/>
        <v>2795611.4600000009</v>
      </c>
      <c r="CQ17" s="3">
        <v>1011846</v>
      </c>
      <c r="CR17" s="3">
        <f t="shared" si="27"/>
        <v>1407193.96</v>
      </c>
      <c r="CS17" s="3">
        <f t="shared" si="28"/>
        <v>395347.95999999996</v>
      </c>
      <c r="CT17" s="32">
        <f t="shared" si="29"/>
        <v>1.3907194968404282</v>
      </c>
      <c r="CV17" s="3">
        <f t="shared" si="30"/>
        <v>2990881.5100000012</v>
      </c>
      <c r="CX17" s="3">
        <f t="shared" si="31"/>
        <v>0</v>
      </c>
      <c r="CY17" s="3">
        <f t="shared" si="32"/>
        <v>0</v>
      </c>
      <c r="CZ17" s="3">
        <f t="shared" si="33"/>
        <v>0</v>
      </c>
      <c r="DA17" s="3">
        <f t="shared" si="34"/>
        <v>1407193.96</v>
      </c>
    </row>
    <row r="18" spans="1:105" s="245" customFormat="1" ht="14.25" customHeight="1" x14ac:dyDescent="0.3">
      <c r="A18" s="234"/>
      <c r="B18" s="235" t="s">
        <v>14</v>
      </c>
      <c r="C18" s="236"/>
      <c r="D18" s="237">
        <f>+D4+D6+D10+D12+D14</f>
        <v>122829159</v>
      </c>
      <c r="E18" s="237">
        <f>+E4+E6+E10+E12+E14</f>
        <v>152595523.99000001</v>
      </c>
      <c r="F18" s="237">
        <f>+F4+F6+F10+F12+F14</f>
        <v>29766364.99000001</v>
      </c>
      <c r="G18" s="238">
        <f t="shared" si="1"/>
        <v>1.2423395652330405</v>
      </c>
      <c r="H18" s="236"/>
      <c r="I18" s="239">
        <f>+I4+I6+I10+I12+I14</f>
        <v>139283116.76999998</v>
      </c>
      <c r="J18" s="236"/>
      <c r="K18" s="237">
        <f>+K4+K6+K10+K12+K14</f>
        <v>27026518</v>
      </c>
      <c r="L18" s="237">
        <f>+L4+L6+L10+L12+L14</f>
        <v>39458655.389999993</v>
      </c>
      <c r="M18" s="237">
        <f>+M4+M6+M10+M12+M14</f>
        <v>12432137.389999999</v>
      </c>
      <c r="N18" s="238">
        <f t="shared" si="2"/>
        <v>1.4599977470275673</v>
      </c>
      <c r="O18" s="236"/>
      <c r="P18" s="239">
        <f>+P4+P6+P10+P12+P14</f>
        <v>30535135.550000001</v>
      </c>
      <c r="Q18" s="236"/>
      <c r="R18" s="237">
        <f>+R4+R6+R10+R12+R14</f>
        <v>19534632</v>
      </c>
      <c r="S18" s="237">
        <f>+S4+S6+S10+S12+S14</f>
        <v>38884625.619999997</v>
      </c>
      <c r="T18" s="237">
        <f>+T4+T6+T10+T12+T14</f>
        <v>19349993.620000001</v>
      </c>
      <c r="U18" s="238">
        <f t="shared" si="4"/>
        <v>1.990548151610944</v>
      </c>
      <c r="V18" s="236"/>
      <c r="W18" s="239">
        <f>+W4+W6+W10+W12+W14</f>
        <v>20919956.109999996</v>
      </c>
      <c r="X18" s="236"/>
      <c r="Y18" s="237">
        <f>+Y4+Y6+Y10+Y12+Y14</f>
        <v>25497920</v>
      </c>
      <c r="Z18" s="237">
        <f>+Z4+Z6+Z10+Z12+Z14</f>
        <v>46873892.170000002</v>
      </c>
      <c r="AA18" s="237">
        <f>+AA4+AA6+AA10+AA12+AA14</f>
        <v>21375972.170000002</v>
      </c>
      <c r="AB18" s="238">
        <f t="shared" si="6"/>
        <v>1.8383418008214003</v>
      </c>
      <c r="AC18" s="236"/>
      <c r="AD18" s="239">
        <f>+AD4+AD6+AD10+AD12+AD14</f>
        <v>29867921.270000003</v>
      </c>
      <c r="AE18" s="236"/>
      <c r="AF18" s="237">
        <f>+AF4+AF6+AF10+AF12+AF14</f>
        <v>28242378</v>
      </c>
      <c r="AG18" s="237">
        <f>+AG4+AG6+AG10+AG12+AG14</f>
        <v>48223747.25</v>
      </c>
      <c r="AH18" s="237">
        <f>+AH4+AH6+AH10+AH12+AH14</f>
        <v>19981369.25</v>
      </c>
      <c r="AI18" s="238">
        <f t="shared" si="8"/>
        <v>1.7074959923700477</v>
      </c>
      <c r="AJ18" s="236"/>
      <c r="AK18" s="237">
        <f>+AK4+AK6+AK10+AK12+AK14</f>
        <v>31830197.129999995</v>
      </c>
      <c r="AL18" s="240"/>
      <c r="AM18" s="237">
        <f>+AM4+AM6+AM10+AM12+AM14</f>
        <v>33251723</v>
      </c>
      <c r="AN18" s="237">
        <f>+AN4+AN6+AN10+AN12+AN14</f>
        <v>32983156.479999997</v>
      </c>
      <c r="AO18" s="237">
        <f t="shared" si="9"/>
        <v>-268566.52000000328</v>
      </c>
      <c r="AP18" s="238">
        <f t="shared" si="10"/>
        <v>0.99192322996315097</v>
      </c>
      <c r="AQ18" s="236"/>
      <c r="AR18" s="237">
        <f>+AR4+AR6+AR10+AR12+AR14</f>
        <v>50698074.109999999</v>
      </c>
      <c r="AS18" s="236"/>
      <c r="AT18" s="237">
        <f>SUM(AT14+AT12+AT10+AT6+AT4)</f>
        <v>29037541</v>
      </c>
      <c r="AU18" s="237">
        <f>SUM(AU14+AU12+AU10+AU6+AU4)</f>
        <v>32316922.649999999</v>
      </c>
      <c r="AV18" s="237">
        <f>+AV4+AV6+AV10+AV12+AV14</f>
        <v>3279381.649999999</v>
      </c>
      <c r="AW18" s="238">
        <f t="shared" si="12"/>
        <v>1.1129359283556413</v>
      </c>
      <c r="AX18" s="236"/>
      <c r="AY18" s="237">
        <f>+AY4+AY6+AY10+AY12+AY14</f>
        <v>31789395.629999999</v>
      </c>
      <c r="AZ18" s="236"/>
      <c r="BA18" s="237">
        <f>+BA4+BA6+BA10+BA12+BA14</f>
        <v>23740626</v>
      </c>
      <c r="BB18" s="237">
        <f>+BB4+BB6+BB10+BB12+BB14</f>
        <v>38054169.050000004</v>
      </c>
      <c r="BC18" s="237">
        <f>+BC4+BC6+BC10+BC12+BC14</f>
        <v>14313543.049999997</v>
      </c>
      <c r="BD18" s="238">
        <f t="shared" si="14"/>
        <v>1.6029134636129647</v>
      </c>
      <c r="BE18" s="236"/>
      <c r="BF18" s="237">
        <f>+BF4+BF6+BF10+BF12+BF14</f>
        <v>25212448.309999999</v>
      </c>
      <c r="BG18" s="236"/>
      <c r="BH18" s="237">
        <f>+BH4+BH6+BH10+BH12+BH14</f>
        <v>26807594</v>
      </c>
      <c r="BI18" s="237">
        <f>+BI4+BI6+BI10+BI12+BI14</f>
        <v>35093533.060000002</v>
      </c>
      <c r="BJ18" s="237">
        <f>+BJ4+BJ6+BJ10+BJ12+BJ14</f>
        <v>8285939.0600000024</v>
      </c>
      <c r="BK18" s="238">
        <f t="shared" si="16"/>
        <v>1.3090892476214018</v>
      </c>
      <c r="BL18" s="236"/>
      <c r="BM18" s="237">
        <f>+BM4+BM6+BM10+BM12+BM14</f>
        <v>32281962.960000001</v>
      </c>
      <c r="BN18" s="236"/>
      <c r="BO18" s="237">
        <f>+BO4+BO6+BO10+BO12+BO14</f>
        <v>31360176</v>
      </c>
      <c r="BP18" s="237">
        <f>SUM(BP14+BP12+BP10+BP6+BP4)</f>
        <v>49745076.960000001</v>
      </c>
      <c r="BQ18" s="237">
        <f>+BQ4+BQ6+BQ10+BQ12+BQ14</f>
        <v>18384900.960000001</v>
      </c>
      <c r="BR18" s="238">
        <f t="shared" si="18"/>
        <v>1.5862499292095811</v>
      </c>
      <c r="BS18" s="236"/>
      <c r="BT18" s="237">
        <f>+BT4+BT6+BT10+BT12+BT14</f>
        <v>31489351.479999997</v>
      </c>
      <c r="BU18" s="236"/>
      <c r="BV18" s="237">
        <f>+BV4+BV6+BV10+BV12+BV14</f>
        <v>25094412</v>
      </c>
      <c r="BW18" s="237">
        <f>+BW4+BW6+BW10+BW12+BW14</f>
        <v>37242252.710000001</v>
      </c>
      <c r="BX18" s="237">
        <f>+BX4+BX6+BX10+BX12+BX14</f>
        <v>12147840.710000003</v>
      </c>
      <c r="BY18" s="238">
        <f t="shared" si="20"/>
        <v>1.4840854892316266</v>
      </c>
      <c r="BZ18" s="236"/>
      <c r="CA18" s="237">
        <f>+CA4+CA6+CA10+CA12+CA14</f>
        <v>33769550.600000001</v>
      </c>
      <c r="CB18" s="236"/>
      <c r="CC18" s="237">
        <f>+CC4+CC6+CC10+CC12+CC14</f>
        <v>36786350</v>
      </c>
      <c r="CD18" s="237">
        <f>SUM(CD14+CD12+CD10+CD6+CD4)</f>
        <v>45560596.219999999</v>
      </c>
      <c r="CE18" s="237">
        <f>+CE4+CE6+CE10+CE12+CE14</f>
        <v>8774246.2200000025</v>
      </c>
      <c r="CF18" s="238">
        <f t="shared" si="22"/>
        <v>1.2385190762334397</v>
      </c>
      <c r="CG18" s="236"/>
      <c r="CH18" s="237">
        <f>+CH4+CH6+CH10+CH12+CH14</f>
        <v>39031689.340000004</v>
      </c>
      <c r="CI18" s="236"/>
      <c r="CJ18" s="237">
        <f t="shared" si="23"/>
        <v>429209029</v>
      </c>
      <c r="CK18" s="237">
        <f t="shared" si="23"/>
        <v>597032151.55000007</v>
      </c>
      <c r="CL18" s="237">
        <f>+CL4+CL6+CL10+CL12+CL14</f>
        <v>167823122.55000007</v>
      </c>
      <c r="CM18" s="238">
        <f t="shared" si="25"/>
        <v>1.3910055735337294</v>
      </c>
      <c r="CN18" s="236"/>
      <c r="CO18" s="237">
        <f t="shared" si="26"/>
        <v>431449897.17999995</v>
      </c>
      <c r="CP18" s="236"/>
      <c r="CQ18" s="237">
        <f>+CQ4+CQ6+CQ10+CQ12+CQ14</f>
        <v>429209029</v>
      </c>
      <c r="CR18" s="237">
        <f>+CR4+CR6+CR10+CR12+CR14</f>
        <v>597032151.55000007</v>
      </c>
      <c r="CS18" s="237">
        <f>+CS4+CS6+CS10+CS12+CS14</f>
        <v>167823122.55000007</v>
      </c>
      <c r="CT18" s="241">
        <f t="shared" si="29"/>
        <v>1.3910055735337294</v>
      </c>
      <c r="CU18" s="242"/>
      <c r="CV18" s="237">
        <f>+CV4+CV6+CV10+CV12+CV14</f>
        <v>496708799.25999999</v>
      </c>
      <c r="CW18" s="243"/>
      <c r="CX18" s="237">
        <f t="shared" si="31"/>
        <v>93240938</v>
      </c>
      <c r="CY18" s="244">
        <f t="shared" si="32"/>
        <v>93240938</v>
      </c>
      <c r="CZ18" s="244">
        <f t="shared" si="33"/>
        <v>107227078.69999999</v>
      </c>
      <c r="DA18" s="244">
        <f t="shared" si="34"/>
        <v>704259230.25</v>
      </c>
    </row>
    <row r="19" spans="1:105" s="26" customFormat="1" ht="16.5" customHeight="1" x14ac:dyDescent="0.3">
      <c r="A19" s="35"/>
      <c r="B19" s="36" t="s">
        <v>15</v>
      </c>
      <c r="D19" s="5">
        <f>+D20+D21</f>
        <v>0</v>
      </c>
      <c r="E19" s="5">
        <f>+E20+E21</f>
        <v>0</v>
      </c>
      <c r="F19" s="5">
        <f>+E19-D19</f>
        <v>0</v>
      </c>
      <c r="G19" s="37">
        <f t="shared" si="1"/>
        <v>0</v>
      </c>
      <c r="I19" s="5">
        <f>+I20+I21</f>
        <v>36</v>
      </c>
      <c r="J19" s="218"/>
      <c r="K19" s="42">
        <f>SUM(K20:K21)</f>
        <v>0</v>
      </c>
      <c r="L19" s="227">
        <f>SUM(L20:L21)</f>
        <v>0</v>
      </c>
      <c r="M19" s="5">
        <f t="shared" ref="M19:M24" si="36">L19-K19</f>
        <v>0</v>
      </c>
      <c r="N19" s="37">
        <f t="shared" si="2"/>
        <v>0</v>
      </c>
      <c r="P19" s="5">
        <f>SUM(P20:P21)</f>
        <v>-36</v>
      </c>
      <c r="R19" s="5">
        <f>SUM(R20:R21)</f>
        <v>0</v>
      </c>
      <c r="S19" s="246">
        <f>SUM(S20:S21)</f>
        <v>0</v>
      </c>
      <c r="T19" s="5">
        <f>S19-R19</f>
        <v>0</v>
      </c>
      <c r="U19" s="37">
        <f t="shared" si="4"/>
        <v>0</v>
      </c>
      <c r="W19" s="5">
        <f>+W20+W21</f>
        <v>0</v>
      </c>
      <c r="Y19" s="5">
        <f>SUM(Y20:Y21)</f>
        <v>0</v>
      </c>
      <c r="Z19" s="246">
        <f>SUM(Z20:Z21)</f>
        <v>0</v>
      </c>
      <c r="AA19" s="5">
        <f>Z19-Y19</f>
        <v>0</v>
      </c>
      <c r="AB19" s="37">
        <f>+AB20+AB21</f>
        <v>0</v>
      </c>
      <c r="AD19" s="5">
        <f>+AD20+AD21</f>
        <v>0</v>
      </c>
      <c r="AF19" s="5">
        <f>SUM(AF20:AF21)</f>
        <v>0</v>
      </c>
      <c r="AG19" s="5">
        <f>SUM(AG20:AG21)</f>
        <v>155000</v>
      </c>
      <c r="AH19" s="5">
        <f>AG19-AF19</f>
        <v>155000</v>
      </c>
      <c r="AI19" s="37">
        <f t="shared" si="8"/>
        <v>0</v>
      </c>
      <c r="AK19" s="5">
        <f>AK20+AK21</f>
        <v>3200</v>
      </c>
      <c r="AM19" s="5">
        <f>SUM(AM20:AM21)</f>
        <v>0</v>
      </c>
      <c r="AN19" s="227">
        <f>SUM(AN20:AN21)</f>
        <v>-155000</v>
      </c>
      <c r="AO19" s="5">
        <f t="shared" si="9"/>
        <v>-155000</v>
      </c>
      <c r="AP19" s="37">
        <f t="shared" si="10"/>
        <v>0</v>
      </c>
      <c r="AR19" s="5">
        <f>AR20+AR21</f>
        <v>0</v>
      </c>
      <c r="AT19" s="2">
        <f>SUM(AT20:AT21)</f>
        <v>0</v>
      </c>
      <c r="AU19" s="2">
        <f>SUM(AU20:AU21)</f>
        <v>0</v>
      </c>
      <c r="AV19" s="5">
        <f>AU19-AT19</f>
        <v>0</v>
      </c>
      <c r="AW19" s="37">
        <f t="shared" si="12"/>
        <v>0</v>
      </c>
      <c r="AY19" s="5">
        <f>AY20+AY21</f>
        <v>0</v>
      </c>
      <c r="BA19" s="5">
        <f>SUM(BA20:BA21)</f>
        <v>0</v>
      </c>
      <c r="BB19" s="227">
        <f>SUM(BB20:BB21)</f>
        <v>0</v>
      </c>
      <c r="BC19" s="227">
        <f t="shared" ref="BC19:BC24" si="37">BB19-BA19</f>
        <v>0</v>
      </c>
      <c r="BD19" s="37">
        <f t="shared" si="14"/>
        <v>0</v>
      </c>
      <c r="BF19" s="5">
        <v>0</v>
      </c>
      <c r="BH19" s="5">
        <f>SUM(BH20:BH21)</f>
        <v>0</v>
      </c>
      <c r="BI19" s="227">
        <f>SUM(BI20:BI21)</f>
        <v>0</v>
      </c>
      <c r="BJ19" s="227">
        <f>BI19-BH19</f>
        <v>0</v>
      </c>
      <c r="BK19" s="37">
        <f t="shared" si="16"/>
        <v>0</v>
      </c>
      <c r="BM19" s="5">
        <f>+BM20+BM21</f>
        <v>0</v>
      </c>
      <c r="BN19" s="247"/>
      <c r="BO19" s="5">
        <f>SUM(BO20:BO21)</f>
        <v>0</v>
      </c>
      <c r="BP19" s="5">
        <f>SUM(BP20:BP21)</f>
        <v>0</v>
      </c>
      <c r="BQ19" s="5">
        <f t="shared" ref="BQ19:BQ24" si="38">BP19-BO19</f>
        <v>0</v>
      </c>
      <c r="BR19" s="37">
        <f t="shared" si="18"/>
        <v>0</v>
      </c>
      <c r="BT19" s="5"/>
      <c r="BV19" s="5">
        <f>SUM(BV20:BV21)</f>
        <v>0</v>
      </c>
      <c r="BW19" s="43">
        <f>SUM(BW20:BW21)</f>
        <v>0</v>
      </c>
      <c r="BX19" s="5">
        <f>BW19-BV19</f>
        <v>0</v>
      </c>
      <c r="BY19" s="37">
        <f t="shared" si="20"/>
        <v>0</v>
      </c>
      <c r="CA19" s="4">
        <f>CA20+CA21</f>
        <v>0</v>
      </c>
      <c r="CC19" s="9">
        <f>SUM(CC20:CC21)</f>
        <v>0</v>
      </c>
      <c r="CD19" s="5">
        <f>SUM(CD20:CD21)</f>
        <v>0</v>
      </c>
      <c r="CE19" s="5">
        <f>CD19-CC19</f>
        <v>0</v>
      </c>
      <c r="CF19" s="37">
        <f t="shared" si="22"/>
        <v>0</v>
      </c>
      <c r="CH19" s="4">
        <f>CH20+CH21</f>
        <v>0</v>
      </c>
      <c r="CJ19" s="228">
        <f t="shared" si="23"/>
        <v>0</v>
      </c>
      <c r="CK19" s="5">
        <f t="shared" si="23"/>
        <v>0</v>
      </c>
      <c r="CL19" s="5">
        <f>CK19-CJ19</f>
        <v>0</v>
      </c>
      <c r="CM19" s="37">
        <f t="shared" si="25"/>
        <v>0</v>
      </c>
      <c r="CO19" s="4">
        <f t="shared" si="26"/>
        <v>3200</v>
      </c>
      <c r="CQ19" s="5">
        <v>0</v>
      </c>
      <c r="CR19" s="5">
        <f>+E19+L19+S19+Z19+AG19+AN19+AU19+BB19+BI19+BP19+BW19+CD19</f>
        <v>0</v>
      </c>
      <c r="CS19" s="5">
        <f>CR19-CQ19</f>
        <v>0</v>
      </c>
      <c r="CT19" s="37">
        <f t="shared" si="29"/>
        <v>0</v>
      </c>
      <c r="CV19" s="5">
        <f t="shared" ref="CV19:CV24" si="39">+I19+P19+W19+AD19+AK19+AR19+AY19+BF19+BM19+BT19+CA19+CH19</f>
        <v>3200</v>
      </c>
      <c r="CX19" s="5">
        <f t="shared" si="31"/>
        <v>0</v>
      </c>
      <c r="CY19" s="5">
        <f t="shared" si="32"/>
        <v>0</v>
      </c>
      <c r="CZ19" s="5">
        <f t="shared" si="33"/>
        <v>0</v>
      </c>
      <c r="DA19" s="5">
        <f t="shared" si="34"/>
        <v>0</v>
      </c>
    </row>
    <row r="20" spans="1:105" s="31" customFormat="1" ht="16.5" customHeight="1" x14ac:dyDescent="0.3">
      <c r="A20" s="29">
        <v>19</v>
      </c>
      <c r="B20" s="30" t="s">
        <v>16</v>
      </c>
      <c r="D20" s="3">
        <v>0</v>
      </c>
      <c r="E20" s="3">
        <v>0</v>
      </c>
      <c r="F20" s="3">
        <f>E20-D20</f>
        <v>0</v>
      </c>
      <c r="G20" s="32">
        <f t="shared" si="1"/>
        <v>0</v>
      </c>
      <c r="I20" s="3">
        <v>36</v>
      </c>
      <c r="J20" s="221"/>
      <c r="K20" s="33">
        <v>0</v>
      </c>
      <c r="L20" s="222">
        <v>0</v>
      </c>
      <c r="M20" s="3">
        <f t="shared" si="36"/>
        <v>0</v>
      </c>
      <c r="N20" s="32">
        <f t="shared" si="2"/>
        <v>0</v>
      </c>
      <c r="P20" s="3">
        <f>19-55</f>
        <v>-36</v>
      </c>
      <c r="R20" s="3">
        <v>0</v>
      </c>
      <c r="S20" s="223">
        <v>0</v>
      </c>
      <c r="T20" s="3">
        <f>S20-R20</f>
        <v>0</v>
      </c>
      <c r="U20" s="32">
        <f t="shared" si="4"/>
        <v>0</v>
      </c>
      <c r="W20" s="3">
        <f>3-3</f>
        <v>0</v>
      </c>
      <c r="Y20" s="3">
        <v>0</v>
      </c>
      <c r="Z20" s="223">
        <v>0</v>
      </c>
      <c r="AA20" s="3">
        <f>Z20-Y20</f>
        <v>0</v>
      </c>
      <c r="AB20" s="32"/>
      <c r="AD20" s="3"/>
      <c r="AF20" s="3">
        <v>0</v>
      </c>
      <c r="AG20" s="3">
        <v>155000</v>
      </c>
      <c r="AH20" s="3">
        <f>AG20-AF20</f>
        <v>155000</v>
      </c>
      <c r="AI20" s="32">
        <f t="shared" si="8"/>
        <v>0</v>
      </c>
      <c r="AK20" s="3">
        <f>3218-18</f>
        <v>3200</v>
      </c>
      <c r="AM20" s="3">
        <v>0</v>
      </c>
      <c r="AN20" s="222">
        <v>-155000</v>
      </c>
      <c r="AO20" s="3">
        <f t="shared" si="9"/>
        <v>-155000</v>
      </c>
      <c r="AP20" s="32">
        <f t="shared" si="10"/>
        <v>0</v>
      </c>
      <c r="AR20" s="3">
        <f>5-5</f>
        <v>0</v>
      </c>
      <c r="AT20" s="3">
        <v>0</v>
      </c>
      <c r="AU20" s="3">
        <v>0</v>
      </c>
      <c r="AV20" s="3">
        <f>AU20-AT20</f>
        <v>0</v>
      </c>
      <c r="AW20" s="32">
        <f t="shared" si="12"/>
        <v>0</v>
      </c>
      <c r="AY20" s="3">
        <f>5-5</f>
        <v>0</v>
      </c>
      <c r="BA20" s="3">
        <v>0</v>
      </c>
      <c r="BB20" s="222">
        <v>0</v>
      </c>
      <c r="BC20" s="222">
        <f t="shared" si="37"/>
        <v>0</v>
      </c>
      <c r="BD20" s="32">
        <f t="shared" si="14"/>
        <v>0</v>
      </c>
      <c r="BF20" s="3">
        <v>0</v>
      </c>
      <c r="BH20" s="3">
        <v>0</v>
      </c>
      <c r="BI20" s="222">
        <v>0</v>
      </c>
      <c r="BJ20" s="222">
        <f>BI20-BH20</f>
        <v>0</v>
      </c>
      <c r="BK20" s="32">
        <f t="shared" si="16"/>
        <v>0</v>
      </c>
      <c r="BM20" s="3">
        <v>0</v>
      </c>
      <c r="BO20" s="3">
        <v>0</v>
      </c>
      <c r="BP20" s="3">
        <v>0</v>
      </c>
      <c r="BQ20" s="3">
        <f t="shared" si="38"/>
        <v>0</v>
      </c>
      <c r="BR20" s="32">
        <f t="shared" si="18"/>
        <v>0</v>
      </c>
      <c r="BT20" s="3"/>
      <c r="BV20" s="3">
        <v>0</v>
      </c>
      <c r="BW20" s="34">
        <v>0</v>
      </c>
      <c r="BX20" s="3">
        <f>BW20-BV20</f>
        <v>0</v>
      </c>
      <c r="BY20" s="32">
        <f t="shared" si="20"/>
        <v>0</v>
      </c>
      <c r="CA20" s="3"/>
      <c r="CC20" s="3">
        <v>0</v>
      </c>
      <c r="CD20" s="3">
        <v>0</v>
      </c>
      <c r="CE20" s="3">
        <f>CD20-CC20</f>
        <v>0</v>
      </c>
      <c r="CF20" s="32">
        <f t="shared" si="22"/>
        <v>0</v>
      </c>
      <c r="CH20" s="3">
        <v>0</v>
      </c>
      <c r="CJ20" s="225">
        <f t="shared" si="23"/>
        <v>0</v>
      </c>
      <c r="CK20" s="3">
        <f t="shared" si="23"/>
        <v>0</v>
      </c>
      <c r="CL20" s="3">
        <f>CK20-CJ20</f>
        <v>0</v>
      </c>
      <c r="CM20" s="32">
        <f t="shared" si="25"/>
        <v>0</v>
      </c>
      <c r="CO20" s="3">
        <f t="shared" si="26"/>
        <v>3200</v>
      </c>
      <c r="CQ20" s="3">
        <v>0</v>
      </c>
      <c r="CR20" s="3">
        <f>+E20+L20+S20+Z20+AG20+AN20+AU20+BB20+BI20+BP20+BW20+CD20</f>
        <v>0</v>
      </c>
      <c r="CS20" s="3">
        <f>CR20-CQ20</f>
        <v>0</v>
      </c>
      <c r="CT20" s="32">
        <f t="shared" si="29"/>
        <v>0</v>
      </c>
      <c r="CV20" s="3">
        <f t="shared" si="39"/>
        <v>3200</v>
      </c>
      <c r="CX20" s="3">
        <f t="shared" si="31"/>
        <v>0</v>
      </c>
      <c r="CY20" s="3">
        <f t="shared" si="32"/>
        <v>0</v>
      </c>
      <c r="CZ20" s="3">
        <f t="shared" si="33"/>
        <v>0</v>
      </c>
      <c r="DA20" s="3">
        <f t="shared" si="34"/>
        <v>0</v>
      </c>
    </row>
    <row r="21" spans="1:105" s="31" customFormat="1" ht="16.5" customHeight="1" x14ac:dyDescent="0.3">
      <c r="A21" s="29">
        <v>20</v>
      </c>
      <c r="B21" s="30" t="s">
        <v>17</v>
      </c>
      <c r="D21" s="3">
        <v>0</v>
      </c>
      <c r="E21" s="3">
        <v>0</v>
      </c>
      <c r="F21" s="3">
        <f>E21-D21</f>
        <v>0</v>
      </c>
      <c r="G21" s="32">
        <f t="shared" si="1"/>
        <v>0</v>
      </c>
      <c r="I21" s="3">
        <v>0</v>
      </c>
      <c r="J21" s="221"/>
      <c r="K21" s="33">
        <v>0</v>
      </c>
      <c r="L21" s="222">
        <v>0</v>
      </c>
      <c r="M21" s="3">
        <f t="shared" si="36"/>
        <v>0</v>
      </c>
      <c r="N21" s="32">
        <f t="shared" si="2"/>
        <v>0</v>
      </c>
      <c r="P21" s="3">
        <v>0</v>
      </c>
      <c r="R21" s="3">
        <v>0</v>
      </c>
      <c r="S21" s="223">
        <v>0</v>
      </c>
      <c r="T21" s="3">
        <f>S21-R21</f>
        <v>0</v>
      </c>
      <c r="U21" s="32">
        <f t="shared" si="4"/>
        <v>0</v>
      </c>
      <c r="W21" s="3">
        <v>0</v>
      </c>
      <c r="Y21" s="3">
        <v>0</v>
      </c>
      <c r="Z21" s="223">
        <v>0</v>
      </c>
      <c r="AA21" s="3">
        <f>Z21-Y21</f>
        <v>0</v>
      </c>
      <c r="AB21" s="32"/>
      <c r="AD21" s="3"/>
      <c r="AF21" s="3">
        <v>0</v>
      </c>
      <c r="AG21" s="3">
        <v>0</v>
      </c>
      <c r="AH21" s="3">
        <f>AG21-AF21</f>
        <v>0</v>
      </c>
      <c r="AI21" s="32">
        <f t="shared" si="8"/>
        <v>0</v>
      </c>
      <c r="AK21" s="3"/>
      <c r="AM21" s="3">
        <v>0</v>
      </c>
      <c r="AN21" s="222">
        <v>0</v>
      </c>
      <c r="AO21" s="3">
        <f t="shared" si="9"/>
        <v>0</v>
      </c>
      <c r="AP21" s="32">
        <f t="shared" si="10"/>
        <v>0</v>
      </c>
      <c r="AR21" s="3"/>
      <c r="AT21" s="3">
        <v>0</v>
      </c>
      <c r="AU21" s="3">
        <v>0</v>
      </c>
      <c r="AV21" s="3">
        <f>AU21-AT21</f>
        <v>0</v>
      </c>
      <c r="AW21" s="32">
        <f t="shared" si="12"/>
        <v>0</v>
      </c>
      <c r="AY21" s="3">
        <f>12-12</f>
        <v>0</v>
      </c>
      <c r="BA21" s="3">
        <v>0</v>
      </c>
      <c r="BB21" s="222">
        <v>0</v>
      </c>
      <c r="BC21" s="222">
        <f t="shared" si="37"/>
        <v>0</v>
      </c>
      <c r="BD21" s="32">
        <f t="shared" si="14"/>
        <v>0</v>
      </c>
      <c r="BF21" s="3">
        <v>0</v>
      </c>
      <c r="BH21" s="3">
        <v>0</v>
      </c>
      <c r="BI21" s="222">
        <v>0</v>
      </c>
      <c r="BJ21" s="222">
        <f>BI21-BH21</f>
        <v>0</v>
      </c>
      <c r="BK21" s="32">
        <f t="shared" si="16"/>
        <v>0</v>
      </c>
      <c r="BM21" s="3">
        <v>0</v>
      </c>
      <c r="BO21" s="3">
        <v>0</v>
      </c>
      <c r="BP21" s="3">
        <v>0</v>
      </c>
      <c r="BQ21" s="3">
        <f t="shared" si="38"/>
        <v>0</v>
      </c>
      <c r="BR21" s="32">
        <f t="shared" si="18"/>
        <v>0</v>
      </c>
      <c r="BT21" s="3"/>
      <c r="BV21" s="3">
        <v>0</v>
      </c>
      <c r="BW21" s="34"/>
      <c r="BX21" s="3">
        <f>BW21-BV21</f>
        <v>0</v>
      </c>
      <c r="BY21" s="32">
        <f t="shared" si="20"/>
        <v>0</v>
      </c>
      <c r="CA21" s="3">
        <v>0</v>
      </c>
      <c r="CC21" s="3">
        <v>0</v>
      </c>
      <c r="CD21" s="3"/>
      <c r="CE21" s="3">
        <f>CD21-CC21</f>
        <v>0</v>
      </c>
      <c r="CF21" s="32">
        <f t="shared" si="22"/>
        <v>0</v>
      </c>
      <c r="CH21" s="3">
        <v>0</v>
      </c>
      <c r="CJ21" s="225">
        <f t="shared" si="23"/>
        <v>0</v>
      </c>
      <c r="CK21" s="3">
        <f t="shared" si="23"/>
        <v>0</v>
      </c>
      <c r="CL21" s="3">
        <f>CK21-CJ21</f>
        <v>0</v>
      </c>
      <c r="CM21" s="32">
        <f t="shared" si="25"/>
        <v>0</v>
      </c>
      <c r="CO21" s="3">
        <f t="shared" si="26"/>
        <v>0</v>
      </c>
      <c r="CQ21" s="3">
        <v>0</v>
      </c>
      <c r="CR21" s="3">
        <f>+E21+L21+S21+Z21+AG21+AN21+AU21+BB21+BI21+BP21+BW21+CD21</f>
        <v>0</v>
      </c>
      <c r="CS21" s="3">
        <f>CR21-CQ21</f>
        <v>0</v>
      </c>
      <c r="CT21" s="32">
        <f t="shared" si="29"/>
        <v>0</v>
      </c>
      <c r="CV21" s="3">
        <f t="shared" si="39"/>
        <v>0</v>
      </c>
      <c r="CX21" s="3">
        <f t="shared" si="31"/>
        <v>0</v>
      </c>
      <c r="CY21" s="3">
        <f t="shared" si="32"/>
        <v>0</v>
      </c>
      <c r="CZ21" s="3">
        <f t="shared" si="33"/>
        <v>0</v>
      </c>
      <c r="DA21" s="3">
        <f t="shared" si="34"/>
        <v>0</v>
      </c>
    </row>
    <row r="22" spans="1:105" s="245" customFormat="1" ht="14.25" customHeight="1" x14ac:dyDescent="0.3">
      <c r="A22" s="234"/>
      <c r="B22" s="235" t="s">
        <v>18</v>
      </c>
      <c r="C22" s="236"/>
      <c r="D22" s="237">
        <f>+D20+D21</f>
        <v>0</v>
      </c>
      <c r="E22" s="237">
        <f>+E20+E21</f>
        <v>0</v>
      </c>
      <c r="F22" s="237">
        <f>+F20+F21</f>
        <v>0</v>
      </c>
      <c r="G22" s="238">
        <f t="shared" si="1"/>
        <v>0</v>
      </c>
      <c r="H22" s="236"/>
      <c r="I22" s="239">
        <f>+I20+I21</f>
        <v>36</v>
      </c>
      <c r="J22" s="236"/>
      <c r="K22" s="237">
        <f>+K20+K21</f>
        <v>0</v>
      </c>
      <c r="L22" s="237">
        <v>0</v>
      </c>
      <c r="M22" s="237">
        <f t="shared" si="36"/>
        <v>0</v>
      </c>
      <c r="N22" s="238">
        <f t="shared" si="2"/>
        <v>0</v>
      </c>
      <c r="O22" s="236"/>
      <c r="P22" s="239">
        <f>+P20+P21</f>
        <v>-36</v>
      </c>
      <c r="Q22" s="236"/>
      <c r="R22" s="237">
        <f>+R20+R21</f>
        <v>0</v>
      </c>
      <c r="S22" s="237">
        <f>+S20+S21</f>
        <v>0</v>
      </c>
      <c r="T22" s="237">
        <f>+T20+T21</f>
        <v>0</v>
      </c>
      <c r="U22" s="238">
        <f t="shared" si="4"/>
        <v>0</v>
      </c>
      <c r="V22" s="236"/>
      <c r="W22" s="239">
        <f>W20+W21</f>
        <v>0</v>
      </c>
      <c r="X22" s="236"/>
      <c r="Y22" s="237">
        <f>+Y20+Y21</f>
        <v>0</v>
      </c>
      <c r="Z22" s="237">
        <f>+Z20+Z21</f>
        <v>0</v>
      </c>
      <c r="AA22" s="237">
        <f>+AA20+AA21</f>
        <v>0</v>
      </c>
      <c r="AB22" s="238">
        <f t="shared" ref="AB22:AB50" si="40">IFERROR(Z22/Y22,0)</f>
        <v>0</v>
      </c>
      <c r="AC22" s="236"/>
      <c r="AD22" s="239">
        <f>+AD20+AD21</f>
        <v>0</v>
      </c>
      <c r="AE22" s="236"/>
      <c r="AF22" s="237">
        <f>SUM(AF19)</f>
        <v>0</v>
      </c>
      <c r="AG22" s="237">
        <f>+AG20+AG21</f>
        <v>155000</v>
      </c>
      <c r="AH22" s="237">
        <f>+AH20+AH21</f>
        <v>155000</v>
      </c>
      <c r="AI22" s="238">
        <f t="shared" si="8"/>
        <v>0</v>
      </c>
      <c r="AJ22" s="236"/>
      <c r="AK22" s="237">
        <f>AK19</f>
        <v>3200</v>
      </c>
      <c r="AL22" s="240"/>
      <c r="AM22" s="237">
        <f>SUM(AM19)</f>
        <v>0</v>
      </c>
      <c r="AN22" s="237">
        <f>SUM(AN19)</f>
        <v>-155000</v>
      </c>
      <c r="AO22" s="237">
        <f t="shared" si="9"/>
        <v>-155000</v>
      </c>
      <c r="AP22" s="238">
        <f t="shared" si="10"/>
        <v>0</v>
      </c>
      <c r="AQ22" s="236"/>
      <c r="AR22" s="237">
        <f>AR19</f>
        <v>0</v>
      </c>
      <c r="AS22" s="236"/>
      <c r="AT22" s="237">
        <f>SUM(AT19)</f>
        <v>0</v>
      </c>
      <c r="AU22" s="237">
        <f>SUM(AU19)</f>
        <v>0</v>
      </c>
      <c r="AV22" s="237">
        <f>SUM(AV19)</f>
        <v>0</v>
      </c>
      <c r="AW22" s="238">
        <f t="shared" si="12"/>
        <v>0</v>
      </c>
      <c r="AX22" s="236"/>
      <c r="AY22" s="237">
        <f>AY19</f>
        <v>0</v>
      </c>
      <c r="AZ22" s="236"/>
      <c r="BA22" s="237">
        <f>SUM(BA19)</f>
        <v>0</v>
      </c>
      <c r="BB22" s="237">
        <f>SUM(BB19)</f>
        <v>0</v>
      </c>
      <c r="BC22" s="237">
        <f t="shared" si="37"/>
        <v>0</v>
      </c>
      <c r="BD22" s="238">
        <f t="shared" si="14"/>
        <v>0</v>
      </c>
      <c r="BE22" s="236"/>
      <c r="BF22" s="237">
        <f>SUM(BF20:BF21)</f>
        <v>0</v>
      </c>
      <c r="BG22" s="236"/>
      <c r="BH22" s="237">
        <f>+BH20+BH21</f>
        <v>0</v>
      </c>
      <c r="BI22" s="237">
        <f>SUM(BI19)</f>
        <v>0</v>
      </c>
      <c r="BJ22" s="237">
        <f>+BJ20+BJ21</f>
        <v>0</v>
      </c>
      <c r="BK22" s="238">
        <f t="shared" si="16"/>
        <v>0</v>
      </c>
      <c r="BL22" s="236"/>
      <c r="BM22" s="237">
        <f>+BM20+BM21</f>
        <v>0</v>
      </c>
      <c r="BN22" s="236"/>
      <c r="BO22" s="237">
        <f>SUM(BO19)</f>
        <v>0</v>
      </c>
      <c r="BP22" s="237">
        <f>SUM(BP19)</f>
        <v>0</v>
      </c>
      <c r="BQ22" s="237">
        <f t="shared" si="38"/>
        <v>0</v>
      </c>
      <c r="BR22" s="238">
        <f t="shared" si="18"/>
        <v>0</v>
      </c>
      <c r="BS22" s="236"/>
      <c r="BT22" s="237">
        <f>SUM(BT19)</f>
        <v>0</v>
      </c>
      <c r="BU22" s="236"/>
      <c r="BV22" s="237">
        <f>SUM(BV19)</f>
        <v>0</v>
      </c>
      <c r="BW22" s="237">
        <f>SUM(BW19)</f>
        <v>0</v>
      </c>
      <c r="BX22" s="237">
        <f>SUM(BX19)</f>
        <v>0</v>
      </c>
      <c r="BY22" s="238">
        <f t="shared" si="20"/>
        <v>0</v>
      </c>
      <c r="BZ22" s="236"/>
      <c r="CA22" s="237">
        <f>SUM(CA19)</f>
        <v>0</v>
      </c>
      <c r="CB22" s="236"/>
      <c r="CC22" s="237">
        <f>SUM(CC19)</f>
        <v>0</v>
      </c>
      <c r="CD22" s="237">
        <f>SUM(CD19)</f>
        <v>0</v>
      </c>
      <c r="CE22" s="237">
        <f>SUM(CE19)</f>
        <v>0</v>
      </c>
      <c r="CF22" s="238">
        <f t="shared" si="22"/>
        <v>0</v>
      </c>
      <c r="CG22" s="236"/>
      <c r="CH22" s="237">
        <f>SUM(CH20:CH21)</f>
        <v>0</v>
      </c>
      <c r="CI22" s="236"/>
      <c r="CJ22" s="237">
        <f t="shared" si="23"/>
        <v>0</v>
      </c>
      <c r="CK22" s="237">
        <f t="shared" si="23"/>
        <v>0</v>
      </c>
      <c r="CL22" s="237">
        <f>+CL20+CL21</f>
        <v>0</v>
      </c>
      <c r="CM22" s="238">
        <f t="shared" si="25"/>
        <v>0</v>
      </c>
      <c r="CN22" s="236"/>
      <c r="CO22" s="237">
        <f t="shared" si="26"/>
        <v>3200</v>
      </c>
      <c r="CP22" s="236"/>
      <c r="CQ22" s="237">
        <f>+CQ20+CQ21</f>
        <v>0</v>
      </c>
      <c r="CR22" s="237">
        <f>+CR20+CR21</f>
        <v>0</v>
      </c>
      <c r="CS22" s="237">
        <f>+CS20+CS21</f>
        <v>0</v>
      </c>
      <c r="CT22" s="241">
        <f t="shared" si="29"/>
        <v>0</v>
      </c>
      <c r="CU22" s="242"/>
      <c r="CV22" s="237">
        <f t="shared" si="39"/>
        <v>3200</v>
      </c>
      <c r="CW22" s="243"/>
      <c r="CX22" s="237">
        <f t="shared" si="31"/>
        <v>0</v>
      </c>
      <c r="CY22" s="244">
        <f t="shared" si="32"/>
        <v>0</v>
      </c>
      <c r="CZ22" s="244">
        <f t="shared" si="33"/>
        <v>0</v>
      </c>
      <c r="DA22" s="244">
        <f t="shared" si="34"/>
        <v>0</v>
      </c>
    </row>
    <row r="23" spans="1:105" s="26" customFormat="1" x14ac:dyDescent="0.3">
      <c r="A23" s="35"/>
      <c r="B23" s="248" t="s">
        <v>19</v>
      </c>
      <c r="D23" s="5">
        <f>D24</f>
        <v>212945</v>
      </c>
      <c r="E23" s="5">
        <f>E24</f>
        <v>249585.67</v>
      </c>
      <c r="F23" s="4">
        <f>E23-D23</f>
        <v>36640.670000000013</v>
      </c>
      <c r="G23" s="37">
        <f t="shared" si="1"/>
        <v>1.1720663551621311</v>
      </c>
      <c r="I23" s="5">
        <f>I24</f>
        <v>244395.51</v>
      </c>
      <c r="J23" s="218"/>
      <c r="K23" s="42">
        <f>K24</f>
        <v>149452</v>
      </c>
      <c r="L23" s="227">
        <f>L24</f>
        <v>227981.1</v>
      </c>
      <c r="M23" s="5">
        <f t="shared" si="36"/>
        <v>78529.100000000006</v>
      </c>
      <c r="N23" s="37">
        <f t="shared" si="2"/>
        <v>1.5254469662500334</v>
      </c>
      <c r="P23" s="5">
        <f>P24</f>
        <v>169717.29</v>
      </c>
      <c r="R23" s="5">
        <f>R24</f>
        <v>130007</v>
      </c>
      <c r="S23" s="227">
        <f>S24</f>
        <v>236842.68</v>
      </c>
      <c r="T23" s="5">
        <f>S23-R23</f>
        <v>106835.68</v>
      </c>
      <c r="U23" s="37">
        <f t="shared" si="4"/>
        <v>1.8217686739944772</v>
      </c>
      <c r="W23" s="5">
        <f>W24</f>
        <v>145480.99</v>
      </c>
      <c r="Y23" s="5">
        <f>Y24</f>
        <v>167811</v>
      </c>
      <c r="Z23" s="227">
        <f>Z24</f>
        <v>133419.43</v>
      </c>
      <c r="AA23" s="5">
        <f>Z23-Y23</f>
        <v>-34391.570000000007</v>
      </c>
      <c r="AB23" s="37">
        <f t="shared" si="40"/>
        <v>0.79505771373747847</v>
      </c>
      <c r="AD23" s="5">
        <f>AD24</f>
        <v>184421.76000000001</v>
      </c>
      <c r="AF23" s="5">
        <f>AF24</f>
        <v>156353</v>
      </c>
      <c r="AG23" s="5">
        <f>AG24</f>
        <v>241582.29</v>
      </c>
      <c r="AH23" s="5">
        <f>AG23-AF23</f>
        <v>85229.290000000008</v>
      </c>
      <c r="AI23" s="37">
        <f t="shared" si="8"/>
        <v>1.5451081207268169</v>
      </c>
      <c r="AK23" s="5">
        <f>AK24</f>
        <v>173580.6</v>
      </c>
      <c r="AM23" s="5">
        <f>AM24</f>
        <v>133223</v>
      </c>
      <c r="AN23" s="227">
        <f>AN24</f>
        <v>177988.59</v>
      </c>
      <c r="AO23" s="5">
        <f t="shared" si="9"/>
        <v>44765.59</v>
      </c>
      <c r="AP23" s="37">
        <f t="shared" si="10"/>
        <v>1.33601998153472</v>
      </c>
      <c r="AR23" s="5">
        <f>AR24</f>
        <v>148641.87</v>
      </c>
      <c r="AT23" s="2">
        <f>AT24</f>
        <v>170636</v>
      </c>
      <c r="AU23" s="2">
        <f>AU24</f>
        <v>247333.07</v>
      </c>
      <c r="AV23" s="5">
        <f>AU23-AT23</f>
        <v>76697.070000000007</v>
      </c>
      <c r="AW23" s="37">
        <f t="shared" si="12"/>
        <v>1.4494776600482899</v>
      </c>
      <c r="AY23" s="5">
        <f>AY24</f>
        <v>189339.3</v>
      </c>
      <c r="BA23" s="5">
        <f>BA24</f>
        <v>133025</v>
      </c>
      <c r="BB23" s="227">
        <f>BB24</f>
        <v>165889.69</v>
      </c>
      <c r="BC23" s="227">
        <f t="shared" si="37"/>
        <v>32864.69</v>
      </c>
      <c r="BD23" s="37">
        <f t="shared" si="14"/>
        <v>1.2470564931403871</v>
      </c>
      <c r="BF23" s="5">
        <v>148636.17000000001</v>
      </c>
      <c r="BH23" s="4">
        <f>BH24</f>
        <v>121025</v>
      </c>
      <c r="BI23" s="227">
        <f>BI24</f>
        <v>142519.67000000001</v>
      </c>
      <c r="BJ23" s="227">
        <f>BI23-BH23</f>
        <v>21494.670000000013</v>
      </c>
      <c r="BK23" s="37">
        <f t="shared" si="16"/>
        <v>1.1776052055360464</v>
      </c>
      <c r="BM23" s="5">
        <f>BM24</f>
        <v>166023</v>
      </c>
      <c r="BO23" s="5">
        <f>BO24</f>
        <v>126272</v>
      </c>
      <c r="BP23" s="5">
        <f>BP24</f>
        <v>179663.05</v>
      </c>
      <c r="BQ23" s="5">
        <f t="shared" si="38"/>
        <v>53391.049999999988</v>
      </c>
      <c r="BR23" s="37">
        <f t="shared" si="18"/>
        <v>1.4228257254181449</v>
      </c>
      <c r="BT23" s="5">
        <f>BT24</f>
        <v>235442.57</v>
      </c>
      <c r="BV23" s="5">
        <f>BV24</f>
        <v>94085</v>
      </c>
      <c r="BW23" s="5">
        <f>BW24</f>
        <v>155285.35</v>
      </c>
      <c r="BX23" s="5">
        <f>BW23-BV23</f>
        <v>61200.350000000006</v>
      </c>
      <c r="BY23" s="37">
        <f t="shared" si="20"/>
        <v>1.6504793537758411</v>
      </c>
      <c r="CA23" s="4">
        <f>CA24</f>
        <v>167890.96</v>
      </c>
      <c r="CC23" s="4">
        <f>CC24</f>
        <v>101738</v>
      </c>
      <c r="CD23" s="5">
        <f>CD24</f>
        <v>125561.9</v>
      </c>
      <c r="CE23" s="5">
        <f>CD23-CC23</f>
        <v>23823.899999999994</v>
      </c>
      <c r="CF23" s="37">
        <f t="shared" si="22"/>
        <v>1.2341691403408754</v>
      </c>
      <c r="CH23" s="4">
        <f>CH24</f>
        <v>130367.2</v>
      </c>
      <c r="CJ23" s="228">
        <f t="shared" si="23"/>
        <v>1696572</v>
      </c>
      <c r="CK23" s="5">
        <f t="shared" si="23"/>
        <v>2283652.4899999998</v>
      </c>
      <c r="CL23" s="5">
        <f t="shared" ref="CL23:CL44" si="41">+F23+M23+T23+AA23+AH23+AO23+AV23+BC23+BJ23+BQ23+BX23</f>
        <v>563256.59000000008</v>
      </c>
      <c r="CM23" s="37">
        <f t="shared" si="25"/>
        <v>1.3460392426610834</v>
      </c>
      <c r="CO23" s="4">
        <f t="shared" si="26"/>
        <v>1700603.69</v>
      </c>
      <c r="CQ23" s="5">
        <v>1696572</v>
      </c>
      <c r="CR23" s="5">
        <f>+E23+L23+S23+Z23+AG23+AN23+AU23+BB23+BI23+BP23+BW23+CD23</f>
        <v>2283652.4899999998</v>
      </c>
      <c r="CS23" s="5">
        <f>CR23-CQ23</f>
        <v>587080.48999999976</v>
      </c>
      <c r="CT23" s="37">
        <f t="shared" si="29"/>
        <v>1.3460392426610834</v>
      </c>
      <c r="CV23" s="5">
        <f t="shared" si="39"/>
        <v>2103937.2200000002</v>
      </c>
      <c r="CX23" s="5">
        <f t="shared" si="31"/>
        <v>322095</v>
      </c>
      <c r="CY23" s="5">
        <f t="shared" si="32"/>
        <v>322095</v>
      </c>
      <c r="CZ23" s="5">
        <f t="shared" si="33"/>
        <v>370409.25</v>
      </c>
      <c r="DA23" s="5">
        <f t="shared" si="34"/>
        <v>2654061.7399999998</v>
      </c>
    </row>
    <row r="24" spans="1:105" s="31" customFormat="1" ht="16.5" customHeight="1" x14ac:dyDescent="0.3">
      <c r="A24" s="29">
        <v>21</v>
      </c>
      <c r="B24" s="30" t="s">
        <v>20</v>
      </c>
      <c r="D24" s="3">
        <v>212945</v>
      </c>
      <c r="E24" s="3">
        <v>249585.67</v>
      </c>
      <c r="F24" s="3">
        <f>E24-D24</f>
        <v>36640.670000000013</v>
      </c>
      <c r="G24" s="32">
        <f t="shared" si="1"/>
        <v>1.1720663551621311</v>
      </c>
      <c r="I24" s="3">
        <f>246533.51-2138</f>
        <v>244395.51</v>
      </c>
      <c r="J24" s="221"/>
      <c r="K24" s="33">
        <v>149452</v>
      </c>
      <c r="L24" s="222">
        <v>227981.1</v>
      </c>
      <c r="M24" s="3">
        <f t="shared" si="36"/>
        <v>78529.100000000006</v>
      </c>
      <c r="N24" s="32">
        <f t="shared" si="2"/>
        <v>1.5254469662500334</v>
      </c>
      <c r="P24" s="3">
        <v>169717.29</v>
      </c>
      <c r="R24" s="3">
        <v>130007</v>
      </c>
      <c r="S24" s="223">
        <v>236842.68</v>
      </c>
      <c r="T24" s="3">
        <f>S24-R24</f>
        <v>106835.68</v>
      </c>
      <c r="U24" s="32">
        <f t="shared" si="4"/>
        <v>1.8217686739944772</v>
      </c>
      <c r="W24" s="3">
        <f>145885.99-405</f>
        <v>145480.99</v>
      </c>
      <c r="Y24" s="3">
        <v>167811</v>
      </c>
      <c r="Z24" s="223">
        <v>133419.43</v>
      </c>
      <c r="AA24" s="3">
        <f>Z24-Y24</f>
        <v>-34391.570000000007</v>
      </c>
      <c r="AB24" s="32">
        <f t="shared" si="40"/>
        <v>0.79505771373747847</v>
      </c>
      <c r="AD24" s="3">
        <v>184421.76000000001</v>
      </c>
      <c r="AF24" s="3">
        <v>156353</v>
      </c>
      <c r="AG24" s="3">
        <v>241582.29</v>
      </c>
      <c r="AH24" s="3">
        <f>AG24-AF24</f>
        <v>85229.290000000008</v>
      </c>
      <c r="AI24" s="32">
        <f t="shared" si="8"/>
        <v>1.5451081207268169</v>
      </c>
      <c r="AK24" s="3">
        <f>174982.6-1402</f>
        <v>173580.6</v>
      </c>
      <c r="AM24" s="3">
        <v>133223</v>
      </c>
      <c r="AN24" s="222">
        <v>177988.59</v>
      </c>
      <c r="AO24" s="3">
        <f t="shared" si="9"/>
        <v>44765.59</v>
      </c>
      <c r="AP24" s="32">
        <f t="shared" si="10"/>
        <v>1.33601998153472</v>
      </c>
      <c r="AR24" s="3">
        <f>150785.87-2144</f>
        <v>148641.87</v>
      </c>
      <c r="AT24" s="3">
        <v>170636</v>
      </c>
      <c r="AU24" s="3">
        <v>247333.07</v>
      </c>
      <c r="AV24" s="3">
        <f>AU24-AT24</f>
        <v>76697.070000000007</v>
      </c>
      <c r="AW24" s="32">
        <f t="shared" si="12"/>
        <v>1.4494776600482899</v>
      </c>
      <c r="AY24" s="3">
        <f>192133.3-2794</f>
        <v>189339.3</v>
      </c>
      <c r="BA24" s="3">
        <v>133025</v>
      </c>
      <c r="BB24" s="222">
        <v>165889.69</v>
      </c>
      <c r="BC24" s="222">
        <f t="shared" si="37"/>
        <v>32864.69</v>
      </c>
      <c r="BD24" s="32">
        <f t="shared" si="14"/>
        <v>1.2470564931403871</v>
      </c>
      <c r="BF24" s="3">
        <v>148636.17000000001</v>
      </c>
      <c r="BH24" s="3">
        <v>121025</v>
      </c>
      <c r="BI24" s="222">
        <v>142519.67000000001</v>
      </c>
      <c r="BJ24" s="222">
        <f>BI24-BH24</f>
        <v>21494.670000000013</v>
      </c>
      <c r="BK24" s="32">
        <f t="shared" si="16"/>
        <v>1.1776052055360464</v>
      </c>
      <c r="BM24" s="3">
        <f>166343-320</f>
        <v>166023</v>
      </c>
      <c r="BO24" s="3">
        <v>126272</v>
      </c>
      <c r="BP24" s="3">
        <v>179663.05</v>
      </c>
      <c r="BQ24" s="3">
        <f t="shared" si="38"/>
        <v>53391.049999999988</v>
      </c>
      <c r="BR24" s="32">
        <f t="shared" si="18"/>
        <v>1.4228257254181449</v>
      </c>
      <c r="BT24" s="3">
        <f>236234.57-792</f>
        <v>235442.57</v>
      </c>
      <c r="BV24" s="3">
        <v>94085</v>
      </c>
      <c r="BW24" s="34">
        <v>155285.35</v>
      </c>
      <c r="BX24" s="3">
        <f>BW24-BV24</f>
        <v>61200.350000000006</v>
      </c>
      <c r="BY24" s="32">
        <f t="shared" si="20"/>
        <v>1.6504793537758411</v>
      </c>
      <c r="CA24" s="3">
        <f>169208.96-1318</f>
        <v>167890.96</v>
      </c>
      <c r="CC24" s="3">
        <v>101738</v>
      </c>
      <c r="CD24" s="3">
        <v>125561.9</v>
      </c>
      <c r="CE24" s="3">
        <f>CD24-CC24</f>
        <v>23823.899999999994</v>
      </c>
      <c r="CF24" s="32">
        <f t="shared" si="22"/>
        <v>1.2341691403408754</v>
      </c>
      <c r="CH24" s="3">
        <f>130833.2-466</f>
        <v>130367.2</v>
      </c>
      <c r="CJ24" s="225">
        <f t="shared" si="23"/>
        <v>1696572</v>
      </c>
      <c r="CK24" s="3">
        <f t="shared" si="23"/>
        <v>2283652.4899999998</v>
      </c>
      <c r="CL24" s="3">
        <f t="shared" si="41"/>
        <v>563256.59000000008</v>
      </c>
      <c r="CM24" s="32">
        <f t="shared" si="25"/>
        <v>1.3460392426610834</v>
      </c>
      <c r="CO24" s="3">
        <f t="shared" si="26"/>
        <v>1700603.69</v>
      </c>
      <c r="CQ24" s="3">
        <v>1696572</v>
      </c>
      <c r="CR24" s="3">
        <f>+E24+L24+S24+Z24+AG24+AN24+AU24+BB24+BI24+BP24+BW24+CD24</f>
        <v>2283652.4899999998</v>
      </c>
      <c r="CS24" s="3">
        <f>CR24-CQ24</f>
        <v>587080.48999999976</v>
      </c>
      <c r="CT24" s="32">
        <f t="shared" si="29"/>
        <v>1.3460392426610834</v>
      </c>
      <c r="CV24" s="3">
        <f t="shared" si="39"/>
        <v>2103937.2200000002</v>
      </c>
      <c r="CX24" s="3">
        <f t="shared" si="31"/>
        <v>322095</v>
      </c>
      <c r="CY24" s="3">
        <f t="shared" si="32"/>
        <v>322095</v>
      </c>
      <c r="CZ24" s="3">
        <f t="shared" si="33"/>
        <v>370409.25</v>
      </c>
      <c r="DA24" s="3">
        <f t="shared" si="34"/>
        <v>2654061.7399999998</v>
      </c>
    </row>
    <row r="25" spans="1:105" s="26" customFormat="1" ht="16.5" customHeight="1" x14ac:dyDescent="0.3">
      <c r="A25" s="35"/>
      <c r="B25" s="36" t="s">
        <v>21</v>
      </c>
      <c r="D25" s="5">
        <f>+D26+D27+D28+D29+D30+D31+D32+D33+D34+D35+D36+D38</f>
        <v>7539501</v>
      </c>
      <c r="E25" s="5">
        <f>+E26+E27+E28+E29+E30+E31+E32+E33+E34+E35+E36+E38</f>
        <v>12679499.51</v>
      </c>
      <c r="F25" s="5">
        <f>+F26+F27+F28+F29+F30+F31+F32+F33+F34+F35+F36+F38</f>
        <v>5139998.51</v>
      </c>
      <c r="G25" s="37">
        <f t="shared" si="1"/>
        <v>1.6817425330933704</v>
      </c>
      <c r="I25" s="5">
        <f>+I26+I27+I28+I29+I30+I31+I32+I33+I34+I35+I36+I38</f>
        <v>8966216.3599999994</v>
      </c>
      <c r="J25" s="218"/>
      <c r="K25" s="5">
        <f>+K26+K27+K28+K29+K30+K31+K32+K33+K34+K35+K36+K38</f>
        <v>7660299</v>
      </c>
      <c r="L25" s="227">
        <f>+L26+L27+L28+L29+L30+L31+L32+L33+L34+L35+L36+L38</f>
        <v>10581466.809999999</v>
      </c>
      <c r="M25" s="5">
        <f>+M26+M27+M28+M29+M30+M31+M32+M33+M34+M35+M36+M38</f>
        <v>2921167.8099999996</v>
      </c>
      <c r="N25" s="37">
        <f t="shared" si="2"/>
        <v>1.3813386148504123</v>
      </c>
      <c r="P25" s="5">
        <f>+P26+P27+P28+P29+P30+P31+P32+P33+P34+P35+P36+P38</f>
        <v>8982703.1000000015</v>
      </c>
      <c r="R25" s="5">
        <f>+R26+R27+R28+R29+R30+R31+R32+R33+R34+R35+R36+R38</f>
        <v>11239455</v>
      </c>
      <c r="S25" s="227">
        <f>+S26+S27+S28+S29+S30+S31+S32+S33+S34+S35+S36+S38</f>
        <v>10712362.289999999</v>
      </c>
      <c r="T25" s="249">
        <f>+T26+T27+T28+T29+T30+T31+T32+T33+T34+T35+T36+T38</f>
        <v>-527092.71</v>
      </c>
      <c r="U25" s="37">
        <f t="shared" si="4"/>
        <v>0.9531033568798486</v>
      </c>
      <c r="W25" s="5">
        <f>+W26+W27+W28+W29+W30+W31+W32+W33+W34+W35+W36+W38</f>
        <v>12518599.65</v>
      </c>
      <c r="Y25" s="5">
        <f>+Y26+Y27+Y28+Y29+Y30+Y31+Y32+Y33+Y34+Y35+Y36+Y38</f>
        <v>6043172</v>
      </c>
      <c r="Z25" s="227">
        <f>+Z26+Z27+Z28+Z29+Z30+Z31+Z32+Z33+Z34+Z35+Z36+Z38</f>
        <v>12085513.380000001</v>
      </c>
      <c r="AA25" s="5">
        <f>+AA26+AA27+AA28+AA29+AA30+AA31+AA32+AA33+AA34+AA35+AA36+AA38</f>
        <v>6042341.3800000008</v>
      </c>
      <c r="AB25" s="37">
        <f t="shared" si="40"/>
        <v>1.9998625523152411</v>
      </c>
      <c r="AD25" s="5">
        <f>+AD26+AD27+AD28+AD29+AD30+AD31+AD32+AD33+AD34+AD35+AD36+AD38</f>
        <v>7047141.9499999993</v>
      </c>
      <c r="AF25" s="5">
        <f>+AF26+AF27+AF28+AF29+AF30+AF31+AF32+AF33+AF34+AF35+AF36+AF38</f>
        <v>6730498</v>
      </c>
      <c r="AG25" s="5">
        <f>+AG26+AG27+AG28+AG29+AG30+AG31+AG32+AG33+AG34+AG35+AG36+AG38</f>
        <v>7111692.0499999998</v>
      </c>
      <c r="AH25" s="5">
        <f>+AH26+AH27+AH28+AH29+AH30+AH31+AH32+AH33+AH34+AH35+AH36+AH38</f>
        <v>381194.04999999987</v>
      </c>
      <c r="AI25" s="37">
        <f t="shared" si="8"/>
        <v>1.0566368268737321</v>
      </c>
      <c r="AK25" s="5">
        <f>+AK26+AK27+AK28+AK29+AK30+AK31+AK32+AK33+AK34+AK35+AK36+AK38</f>
        <v>8069208.1200000001</v>
      </c>
      <c r="AM25" s="5">
        <f>+AM26+AM27+AM28+AM29+AM30+AM31+AM32+AM33+AM34+AM35+AM36+AM38</f>
        <v>6739332</v>
      </c>
      <c r="AN25" s="227">
        <f>+AN26+AN27+AN28+AN29+AN30+AN31+AN32+AN33+AN34+AN35+AN36+AN38</f>
        <v>13812357.77</v>
      </c>
      <c r="AO25" s="5">
        <f>+AO26+AO27+AO28+AO29+AO30+AO31+AO32+AO33+AO34+AO35+AO36+AO38</f>
        <v>7073025.7700000005</v>
      </c>
      <c r="AP25" s="37">
        <f t="shared" si="10"/>
        <v>2.0495143687831376</v>
      </c>
      <c r="AR25" s="5">
        <f>+AR26+AR27+AR28+AR29+AR30+AR31+AR32+AR33+AR34+AR35+AR36+AR38</f>
        <v>7632770.1099999994</v>
      </c>
      <c r="AT25" s="5">
        <f>+AT26+AT27+AT28+AT29+AT30+AT31+AT32+AT33+AT34+AT35+AT36+AT38</f>
        <v>9115243</v>
      </c>
      <c r="AU25" s="5">
        <f>+AU26+AU27+AU28+AU29+AU30+AU31+AU32+AU33+AU34+AU35+AU36+AU38</f>
        <v>10066436.029999999</v>
      </c>
      <c r="AV25" s="5">
        <f>+AV26+AV27+AV28+AV29+AV30+AV31+AV32+AV33+AV34+AV35+AV36+AV38</f>
        <v>951193.02999999991</v>
      </c>
      <c r="AW25" s="37">
        <f t="shared" si="12"/>
        <v>1.1043519114081763</v>
      </c>
      <c r="AY25" s="5">
        <f>+AY26+AY27+AY28+AY29+AY30+AY31+AY32+AY33+AY34+AY35+AY36+AY38</f>
        <v>10353204.880000001</v>
      </c>
      <c r="BA25" s="5">
        <f>+BA26+BA27+BA28+BA29+BA30+BA31+BA32+BA33+BA34+BA35+BA36+BA38</f>
        <v>6042563</v>
      </c>
      <c r="BB25" s="227">
        <f>+BB26+BB27+BB28+BB29+BB30+BB31+BB32+BB33+BB34+BB35+BB36+BB38</f>
        <v>13348360.559999999</v>
      </c>
      <c r="BC25" s="227">
        <f>+BC26+BC27+BC28+BC29+BC30+BC31+BC32+BC33+BC34+BC35+BC36+BC38</f>
        <v>7305797.5599999987</v>
      </c>
      <c r="BD25" s="37">
        <f t="shared" si="14"/>
        <v>2.2090560843138909</v>
      </c>
      <c r="BF25" s="5">
        <f>+BF26+BF27+BF28+BF29+BF30+BF31+BF32+BF33+BF34+BF35+BF36+BF38</f>
        <v>6971540.04</v>
      </c>
      <c r="BH25" s="5">
        <f>+BH26+BH27+BH28+BH29+BH30+BH31+BH32+BH33+BH34+BH35+BH36+BH38</f>
        <v>11230373</v>
      </c>
      <c r="BI25" s="227">
        <f>+BI26+BI27+BI28+BI29+BI30+BI31+BI32+BI33+BI34+BI35+BI36+BI38</f>
        <v>10648879.799999999</v>
      </c>
      <c r="BJ25" s="227">
        <f>+BJ26+BJ27+BJ28+BJ29+BJ30+BJ31+BJ32+BJ33+BJ34+BJ35+BJ36+BJ38</f>
        <v>-581493.19999999995</v>
      </c>
      <c r="BK25" s="37">
        <f t="shared" si="16"/>
        <v>0.948221381426957</v>
      </c>
      <c r="BM25" s="5">
        <f>+BM26+BM27+BM28+BM29+BM30+BM31+BM32+BM33+BM34+BM35+BM36+BM38</f>
        <v>11496788.980000002</v>
      </c>
      <c r="BO25" s="5">
        <f>+BO26+BO27+BO28+BO29+BO30+BO31+BO32+BO33+BO34+BO35+BO36+BO38</f>
        <v>7647603</v>
      </c>
      <c r="BP25" s="5">
        <f>+BP26+BP27+BP28+BP29+BP30+BP31+BP32+BP33+BP34+BP35+BP36+BP38</f>
        <v>11693727.52</v>
      </c>
      <c r="BQ25" s="5">
        <f>+BQ26+BQ27+BQ28+BQ29+BQ30+BQ31+BQ32+BQ33+BQ34+BQ35+BQ36+BQ38</f>
        <v>4046124.5200000005</v>
      </c>
      <c r="BR25" s="37">
        <f t="shared" si="18"/>
        <v>1.5290709415747652</v>
      </c>
      <c r="BT25" s="5">
        <f>+BT26+BT27+BT28+BT29+BT30+BT31+BT32+BT33+BT34+BT35+BT36+BT38</f>
        <v>7081707.3900000006</v>
      </c>
      <c r="BV25" s="5">
        <f>+BV26+BV27+BV28+BV29+BV30+BV31+BV32+BV33+BV34+BV35+BV36+BV38</f>
        <v>6666246</v>
      </c>
      <c r="BW25" s="5">
        <f>+BW26+BW27+BW28+BW29+BW30+BW31+BW32+BW33+BW34+BW35+BW36+BW38</f>
        <v>10214252.93</v>
      </c>
      <c r="BX25" s="5">
        <f>+BX26+BX27+BX28+BX29+BX30+BX31+BX32+BX33+BX34+BX35+BX36+BX38</f>
        <v>3548006.9299999997</v>
      </c>
      <c r="BY25" s="37">
        <f t="shared" si="20"/>
        <v>1.532234623504743</v>
      </c>
      <c r="CA25" s="5">
        <f>+CA26+CA27+CA28+CA29+CA30+CA31+CA32+CA33+CA34+CA35+CA36+CA38</f>
        <v>12549311.970000001</v>
      </c>
      <c r="CC25" s="5">
        <f>+CC26+CC27+CC28+CC29+CC30+CC31+CC32+CC33+CC34+CC35+CC36+CC38</f>
        <v>10152945</v>
      </c>
      <c r="CD25" s="5">
        <f>+CD26+CD27+CD28+CD29+CD30+CD31+CD32+CD33+CD34+CD35+CD36+CD38</f>
        <v>14251702.42</v>
      </c>
      <c r="CE25" s="5">
        <f>+CE26+CE27+CE28+CE29+CE30+CE31+CE32+CE33+CE34+CE35+CE36+CE38</f>
        <v>4098757.42</v>
      </c>
      <c r="CF25" s="37">
        <f t="shared" si="22"/>
        <v>1.4037013319780616</v>
      </c>
      <c r="CH25" s="5">
        <f>+CH26+CH27+CH28+CH29+CH30+CH31+CH32+CH33+CH34+CH35+CH36+CH38</f>
        <v>8961742.1899999995</v>
      </c>
      <c r="CJ25" s="228">
        <f t="shared" si="23"/>
        <v>96807230</v>
      </c>
      <c r="CK25" s="5">
        <f t="shared" si="23"/>
        <v>137206251.06999999</v>
      </c>
      <c r="CL25" s="5">
        <f t="shared" si="41"/>
        <v>36300263.650000006</v>
      </c>
      <c r="CM25" s="37">
        <f t="shared" si="25"/>
        <v>1.41731408976375</v>
      </c>
      <c r="CO25" s="5">
        <f t="shared" si="26"/>
        <v>90999915.38000001</v>
      </c>
      <c r="CQ25" s="5">
        <f>+CQ26+CQ27+CQ28+CQ29+CQ30+CQ31+CQ32+CQ33+CQ34+CQ35+CQ36+CQ38</f>
        <v>96807230</v>
      </c>
      <c r="CR25" s="5">
        <f>+CR26+CR27+CR28+CR29+CR30+CR31+CR32+CR33+CR34+CR35+CR36+CR38</f>
        <v>137206251.06999999</v>
      </c>
      <c r="CS25" s="5">
        <f>+CS26+CS27+CS28+CS29+CS30+CS31+CS32+CS33+CS34+CS35+CS36+CS38</f>
        <v>40399021.069999993</v>
      </c>
      <c r="CT25" s="37">
        <f t="shared" si="29"/>
        <v>1.41731408976375</v>
      </c>
      <c r="CV25" s="5">
        <f>+CV26+CV27+CV28+CV29+CV30+CV31+CV32+CV33+CV34+CV35+CV36+CV38</f>
        <v>110630934.73999996</v>
      </c>
      <c r="CX25" s="5">
        <f t="shared" si="31"/>
        <v>24466794</v>
      </c>
      <c r="CY25" s="5">
        <f t="shared" si="32"/>
        <v>24466794</v>
      </c>
      <c r="CZ25" s="5">
        <f t="shared" si="33"/>
        <v>28136813.099999998</v>
      </c>
      <c r="DA25" s="5">
        <f t="shared" si="34"/>
        <v>165343064.16999999</v>
      </c>
    </row>
    <row r="26" spans="1:105" s="31" customFormat="1" ht="16.5" customHeight="1" x14ac:dyDescent="0.3">
      <c r="A26" s="29">
        <v>22</v>
      </c>
      <c r="B26" s="30" t="s">
        <v>22</v>
      </c>
      <c r="D26" s="3">
        <v>693539</v>
      </c>
      <c r="E26" s="3">
        <v>928144.66</v>
      </c>
      <c r="F26" s="3">
        <f t="shared" ref="F26:F38" si="42">E26-D26</f>
        <v>234605.66000000003</v>
      </c>
      <c r="G26" s="32">
        <f t="shared" si="1"/>
        <v>1.338273204535001</v>
      </c>
      <c r="I26" s="3">
        <f>836123.81-121690</f>
        <v>714433.81</v>
      </c>
      <c r="J26" s="221"/>
      <c r="K26" s="250">
        <v>477336</v>
      </c>
      <c r="L26" s="251">
        <v>798026.76</v>
      </c>
      <c r="M26" s="3">
        <f t="shared" ref="M26:M38" si="43">L26-K26</f>
        <v>320690.76</v>
      </c>
      <c r="N26" s="32">
        <f t="shared" si="2"/>
        <v>1.6718344310925637</v>
      </c>
      <c r="P26" s="252">
        <f>584765-84043.9</f>
        <v>500721.1</v>
      </c>
      <c r="R26" s="3">
        <v>724484</v>
      </c>
      <c r="S26" s="223">
        <v>825835.24</v>
      </c>
      <c r="T26" s="3">
        <f t="shared" ref="T26:T38" si="44">S26-R26</f>
        <v>101351.23999999999</v>
      </c>
      <c r="U26" s="32">
        <f t="shared" si="4"/>
        <v>1.1398943800001105</v>
      </c>
      <c r="W26" s="3">
        <f>816197.25-68849.35</f>
        <v>747347.9</v>
      </c>
      <c r="Y26" s="3">
        <v>263651</v>
      </c>
      <c r="Z26" s="223">
        <v>268973.5</v>
      </c>
      <c r="AA26" s="3">
        <f t="shared" ref="AA26:AA38" si="45">Z26-Y26</f>
        <v>5322.5</v>
      </c>
      <c r="AB26" s="32">
        <f t="shared" si="40"/>
        <v>1.0201876723395702</v>
      </c>
      <c r="AD26" s="3">
        <f>296771.25-2501</f>
        <v>294270.25</v>
      </c>
      <c r="AF26" s="3">
        <v>247609</v>
      </c>
      <c r="AG26" s="3">
        <v>487739</v>
      </c>
      <c r="AH26" s="3">
        <f t="shared" ref="AH26:AH38" si="46">AG26-AF26</f>
        <v>240130</v>
      </c>
      <c r="AI26" s="32">
        <f t="shared" si="8"/>
        <v>1.9697951205327755</v>
      </c>
      <c r="AK26" s="3">
        <f>267176.5-1377.5</f>
        <v>265799</v>
      </c>
      <c r="AM26" s="3">
        <v>173842</v>
      </c>
      <c r="AN26" s="222">
        <v>324079</v>
      </c>
      <c r="AO26" s="3">
        <f t="shared" ref="AO26:AO38" si="47">AN26-AM26</f>
        <v>150237</v>
      </c>
      <c r="AP26" s="32">
        <f t="shared" si="10"/>
        <v>1.8642157821470071</v>
      </c>
      <c r="AR26" s="3">
        <f>212951.45-24009.65</f>
        <v>188941.80000000002</v>
      </c>
      <c r="AT26" s="3">
        <v>338873</v>
      </c>
      <c r="AU26" s="3">
        <v>204692</v>
      </c>
      <c r="AV26" s="3">
        <f t="shared" ref="AV26:AV38" si="48">AU26-AT26</f>
        <v>-134181</v>
      </c>
      <c r="AW26" s="32">
        <f t="shared" si="12"/>
        <v>0.60403750077462648</v>
      </c>
      <c r="AY26" s="3">
        <f>347893.4-1677</f>
        <v>346216.4</v>
      </c>
      <c r="BA26" s="3">
        <v>93024</v>
      </c>
      <c r="BB26" s="222">
        <v>162421</v>
      </c>
      <c r="BC26" s="222">
        <f t="shared" ref="BC26:BC38" si="49">BB26-BA26</f>
        <v>69397</v>
      </c>
      <c r="BD26" s="32">
        <f t="shared" si="14"/>
        <v>1.7460117819057448</v>
      </c>
      <c r="BF26" s="3">
        <f>109209-1860</f>
        <v>107349</v>
      </c>
      <c r="BH26" s="3">
        <v>67571</v>
      </c>
      <c r="BI26" s="222">
        <v>100016</v>
      </c>
      <c r="BJ26" s="222">
        <f t="shared" ref="BJ26:BJ38" si="50">BI26-BH26</f>
        <v>32445</v>
      </c>
      <c r="BK26" s="32">
        <f t="shared" si="16"/>
        <v>1.4801616077903244</v>
      </c>
      <c r="BM26" s="3">
        <f>207099.2-358</f>
        <v>206741.2</v>
      </c>
      <c r="BO26" s="3">
        <v>94217</v>
      </c>
      <c r="BP26" s="3">
        <v>107457</v>
      </c>
      <c r="BQ26" s="3">
        <f t="shared" ref="BQ26:BQ38" si="51">BP26-BO26</f>
        <v>13240</v>
      </c>
      <c r="BR26" s="32">
        <f t="shared" si="18"/>
        <v>1.1405266565481813</v>
      </c>
      <c r="BT26" s="3">
        <f>117575.45-1991</f>
        <v>115584.45</v>
      </c>
      <c r="BV26" s="3">
        <v>147236</v>
      </c>
      <c r="BW26" s="34">
        <v>79597</v>
      </c>
      <c r="BX26" s="3">
        <f t="shared" ref="BX26:BX38" si="52">BW26-BV26</f>
        <v>-67639</v>
      </c>
      <c r="BY26" s="32">
        <f t="shared" si="20"/>
        <v>0.54060827515009913</v>
      </c>
      <c r="CA26" s="3">
        <f>55800-462</f>
        <v>55338</v>
      </c>
      <c r="CC26" s="3">
        <v>43109</v>
      </c>
      <c r="CD26" s="3">
        <v>39249</v>
      </c>
      <c r="CE26" s="3">
        <f t="shared" ref="CE26:CE38" si="53">CD26-CC26</f>
        <v>-3860</v>
      </c>
      <c r="CF26" s="32">
        <f t="shared" si="22"/>
        <v>0.91045953281217384</v>
      </c>
      <c r="CH26" s="3">
        <f>54042.2-72</f>
        <v>53970.2</v>
      </c>
      <c r="CJ26" s="225">
        <f t="shared" si="23"/>
        <v>3364491</v>
      </c>
      <c r="CK26" s="3">
        <f t="shared" si="23"/>
        <v>4326230.16</v>
      </c>
      <c r="CL26" s="3">
        <f t="shared" si="41"/>
        <v>965599.16000000015</v>
      </c>
      <c r="CM26" s="32">
        <f t="shared" si="25"/>
        <v>1.2858498239406793</v>
      </c>
      <c r="CO26" s="3">
        <f t="shared" si="26"/>
        <v>3425790.66</v>
      </c>
      <c r="CQ26" s="3">
        <v>3364491</v>
      </c>
      <c r="CR26" s="3">
        <f t="shared" ref="CR26:CR38" si="54">+E26+L26+S26+Z26+AG26+AN26+AU26+BB26+BI26+BP26+BW26+CD26</f>
        <v>4326230.16</v>
      </c>
      <c r="CS26" s="3">
        <f t="shared" ref="CS26:CS38" si="55">CR26-CQ26</f>
        <v>961739.16000000015</v>
      </c>
      <c r="CT26" s="32">
        <f t="shared" si="29"/>
        <v>1.2858498239406793</v>
      </c>
      <c r="CV26" s="3">
        <f t="shared" ref="CV26:CV38" si="56">+I26+P26+W26+AD26+AK26+AR26+AY26+BF26+BM26+BT26+CA26+CH26</f>
        <v>3596713.1100000003</v>
      </c>
      <c r="CX26" s="3">
        <f t="shared" si="31"/>
        <v>284562</v>
      </c>
      <c r="CY26" s="3">
        <f t="shared" si="32"/>
        <v>284562</v>
      </c>
      <c r="CZ26" s="3">
        <f t="shared" si="33"/>
        <v>327246.3</v>
      </c>
      <c r="DA26" s="3">
        <f t="shared" si="34"/>
        <v>4653476.46</v>
      </c>
    </row>
    <row r="27" spans="1:105" s="31" customFormat="1" ht="16.5" customHeight="1" x14ac:dyDescent="0.3">
      <c r="A27" s="29">
        <v>23</v>
      </c>
      <c r="B27" s="30" t="s">
        <v>23</v>
      </c>
      <c r="D27" s="3">
        <v>2445100</v>
      </c>
      <c r="E27" s="3">
        <v>3046560.28</v>
      </c>
      <c r="F27" s="3">
        <f t="shared" si="42"/>
        <v>601460.2799999998</v>
      </c>
      <c r="G27" s="32">
        <f t="shared" si="1"/>
        <v>1.2459859637642632</v>
      </c>
      <c r="I27" s="3">
        <f>2776927.52-73898.89</f>
        <v>2703028.63</v>
      </c>
      <c r="J27" s="221"/>
      <c r="K27" s="33">
        <v>2906011</v>
      </c>
      <c r="L27" s="222">
        <v>3987242.41</v>
      </c>
      <c r="M27" s="3">
        <f t="shared" si="43"/>
        <v>1081231.4100000001</v>
      </c>
      <c r="N27" s="32">
        <f t="shared" si="2"/>
        <v>1.372067211720809</v>
      </c>
      <c r="P27" s="3">
        <f>3097484.57-8859.25</f>
        <v>3088625.32</v>
      </c>
      <c r="R27" s="3">
        <v>6194275</v>
      </c>
      <c r="S27" s="223">
        <v>3647954.02</v>
      </c>
      <c r="T27" s="3">
        <f t="shared" si="44"/>
        <v>-2546320.98</v>
      </c>
      <c r="U27" s="32">
        <f t="shared" si="4"/>
        <v>0.58892348499219038</v>
      </c>
      <c r="W27" s="3">
        <f>6255281.08-14632.36</f>
        <v>6240648.7199999997</v>
      </c>
      <c r="Y27" s="3">
        <v>2429182</v>
      </c>
      <c r="Z27" s="223">
        <v>5907381.54</v>
      </c>
      <c r="AA27" s="3">
        <f t="shared" si="45"/>
        <v>3478199.54</v>
      </c>
      <c r="AB27" s="32">
        <f t="shared" si="40"/>
        <v>2.4318398292099976</v>
      </c>
      <c r="AD27" s="3">
        <f>2583489.14-1978</f>
        <v>2581511.14</v>
      </c>
      <c r="AF27" s="3">
        <v>3053737</v>
      </c>
      <c r="AG27" s="3">
        <v>3360826.01</v>
      </c>
      <c r="AH27" s="3">
        <f t="shared" si="46"/>
        <v>307089.00999999978</v>
      </c>
      <c r="AI27" s="32">
        <f t="shared" si="8"/>
        <v>1.1005617084902857</v>
      </c>
      <c r="AK27" s="3">
        <f>3572310.68-54523.8</f>
        <v>3517786.8800000004</v>
      </c>
      <c r="AM27" s="3">
        <v>3368089</v>
      </c>
      <c r="AN27" s="222">
        <v>6236547.2300000004</v>
      </c>
      <c r="AO27" s="3">
        <f t="shared" si="47"/>
        <v>2868458.2300000004</v>
      </c>
      <c r="AP27" s="32">
        <f t="shared" si="10"/>
        <v>1.8516574918299369</v>
      </c>
      <c r="AR27" s="3">
        <f>3717375.37-258099.74</f>
        <v>3459275.63</v>
      </c>
      <c r="AT27" s="3">
        <v>5589884</v>
      </c>
      <c r="AU27" s="3">
        <v>4852539.3899999997</v>
      </c>
      <c r="AV27" s="3">
        <f t="shared" si="48"/>
        <v>-737344.61000000034</v>
      </c>
      <c r="AW27" s="32">
        <f t="shared" si="12"/>
        <v>0.86809303913998925</v>
      </c>
      <c r="AY27" s="3">
        <f>6028584.31-4293</f>
        <v>6024291.3099999996</v>
      </c>
      <c r="BA27" s="3">
        <v>2252344</v>
      </c>
      <c r="BB27" s="222">
        <v>8549465.7300000004</v>
      </c>
      <c r="BC27" s="222">
        <f t="shared" si="49"/>
        <v>6297121.7300000004</v>
      </c>
      <c r="BD27" s="32">
        <f t="shared" si="14"/>
        <v>3.7958081580788727</v>
      </c>
      <c r="BF27" s="3">
        <f>2392466-74094.92</f>
        <v>2318371.08</v>
      </c>
      <c r="BH27" s="3">
        <v>7778201</v>
      </c>
      <c r="BI27" s="222">
        <v>5916102.9199999999</v>
      </c>
      <c r="BJ27" s="222">
        <f t="shared" si="50"/>
        <v>-1862098.08</v>
      </c>
      <c r="BK27" s="32">
        <f t="shared" si="16"/>
        <v>0.76060041647162369</v>
      </c>
      <c r="BM27" s="3">
        <f>7241004.78-67781.47</f>
        <v>7173223.3100000005</v>
      </c>
      <c r="BO27" s="3">
        <v>4576678</v>
      </c>
      <c r="BP27" s="3">
        <v>6280067.2400000002</v>
      </c>
      <c r="BQ27" s="3">
        <f t="shared" si="51"/>
        <v>1703389.2400000002</v>
      </c>
      <c r="BR27" s="32">
        <f t="shared" si="18"/>
        <v>1.3721890069609441</v>
      </c>
      <c r="BT27" s="3">
        <f>2886187.18-745871.79</f>
        <v>2140315.39</v>
      </c>
      <c r="BV27" s="3">
        <v>3913395</v>
      </c>
      <c r="BW27" s="34">
        <v>3970686.3</v>
      </c>
      <c r="BX27" s="3">
        <f t="shared" si="52"/>
        <v>57291.299999999814</v>
      </c>
      <c r="BY27" s="32">
        <f t="shared" si="20"/>
        <v>1.0146397948584285</v>
      </c>
      <c r="CA27" s="3">
        <f>14456112.95-5857057.54</f>
        <v>8599055.4100000001</v>
      </c>
      <c r="CC27" s="3">
        <v>7390033</v>
      </c>
      <c r="CD27" s="3">
        <v>8341333.1799999997</v>
      </c>
      <c r="CE27" s="3">
        <f t="shared" si="53"/>
        <v>951300.1799999997</v>
      </c>
      <c r="CF27" s="32">
        <f t="shared" si="22"/>
        <v>1.1287274603509889</v>
      </c>
      <c r="CH27" s="3">
        <f>4981873.76-7460</f>
        <v>4974413.76</v>
      </c>
      <c r="CJ27" s="225">
        <f t="shared" si="23"/>
        <v>51896929</v>
      </c>
      <c r="CK27" s="3">
        <f t="shared" si="23"/>
        <v>64096706.25</v>
      </c>
      <c r="CL27" s="3">
        <f t="shared" si="41"/>
        <v>11248477.07</v>
      </c>
      <c r="CM27" s="32">
        <f t="shared" si="25"/>
        <v>1.2350770553301911</v>
      </c>
      <c r="CO27" s="3">
        <f t="shared" si="26"/>
        <v>42081175.779999994</v>
      </c>
      <c r="CQ27" s="3">
        <v>51896929</v>
      </c>
      <c r="CR27" s="3">
        <f t="shared" si="54"/>
        <v>64096706.25</v>
      </c>
      <c r="CS27" s="3">
        <f t="shared" si="55"/>
        <v>12199777.25</v>
      </c>
      <c r="CT27" s="32">
        <f t="shared" si="29"/>
        <v>1.2350770553301911</v>
      </c>
      <c r="CV27" s="3">
        <f t="shared" si="56"/>
        <v>52820546.579999991</v>
      </c>
      <c r="CX27" s="3">
        <f t="shared" si="31"/>
        <v>15880106</v>
      </c>
      <c r="CY27" s="3">
        <f t="shared" si="32"/>
        <v>15880106</v>
      </c>
      <c r="CZ27" s="3">
        <f t="shared" si="33"/>
        <v>18262121.899999999</v>
      </c>
      <c r="DA27" s="3">
        <f t="shared" si="34"/>
        <v>82358828.150000006</v>
      </c>
    </row>
    <row r="28" spans="1:105" s="31" customFormat="1" ht="16.5" customHeight="1" x14ac:dyDescent="0.3">
      <c r="A28" s="29">
        <v>24</v>
      </c>
      <c r="B28" s="30" t="s">
        <v>24</v>
      </c>
      <c r="D28" s="3">
        <v>0</v>
      </c>
      <c r="E28" s="3">
        <v>0</v>
      </c>
      <c r="F28" s="3">
        <f t="shared" si="42"/>
        <v>0</v>
      </c>
      <c r="G28" s="32">
        <f t="shared" si="1"/>
        <v>0</v>
      </c>
      <c r="I28" s="3">
        <v>0</v>
      </c>
      <c r="J28" s="221"/>
      <c r="K28" s="33">
        <v>0</v>
      </c>
      <c r="L28" s="251">
        <v>0</v>
      </c>
      <c r="M28" s="3">
        <f t="shared" si="43"/>
        <v>0</v>
      </c>
      <c r="N28" s="32">
        <f t="shared" si="2"/>
        <v>0</v>
      </c>
      <c r="P28" s="3">
        <v>0</v>
      </c>
      <c r="R28" s="3">
        <v>0</v>
      </c>
      <c r="S28" s="223">
        <v>0</v>
      </c>
      <c r="T28" s="3">
        <f t="shared" si="44"/>
        <v>0</v>
      </c>
      <c r="U28" s="32">
        <f t="shared" si="4"/>
        <v>0</v>
      </c>
      <c r="W28" s="3">
        <v>0</v>
      </c>
      <c r="Y28" s="3">
        <v>0</v>
      </c>
      <c r="Z28" s="223">
        <v>0</v>
      </c>
      <c r="AA28" s="3">
        <f t="shared" si="45"/>
        <v>0</v>
      </c>
      <c r="AB28" s="32">
        <f t="shared" si="40"/>
        <v>0</v>
      </c>
      <c r="AD28" s="3"/>
      <c r="AF28" s="3">
        <v>0</v>
      </c>
      <c r="AG28" s="3">
        <v>0</v>
      </c>
      <c r="AH28" s="3">
        <f t="shared" si="46"/>
        <v>0</v>
      </c>
      <c r="AI28" s="32">
        <f t="shared" si="8"/>
        <v>0</v>
      </c>
      <c r="AK28" s="3"/>
      <c r="AM28" s="3">
        <v>0</v>
      </c>
      <c r="AN28" s="222">
        <v>0</v>
      </c>
      <c r="AO28" s="3">
        <f t="shared" si="47"/>
        <v>0</v>
      </c>
      <c r="AP28" s="32">
        <f t="shared" si="10"/>
        <v>0</v>
      </c>
      <c r="AR28" s="3">
        <v>0</v>
      </c>
      <c r="AT28" s="3">
        <v>0</v>
      </c>
      <c r="AU28" s="3">
        <v>0</v>
      </c>
      <c r="AV28" s="3">
        <f t="shared" si="48"/>
        <v>0</v>
      </c>
      <c r="AW28" s="32">
        <f t="shared" si="12"/>
        <v>0</v>
      </c>
      <c r="AY28" s="3">
        <v>0</v>
      </c>
      <c r="BA28" s="3">
        <v>0</v>
      </c>
      <c r="BB28" s="222">
        <v>0</v>
      </c>
      <c r="BC28" s="222">
        <f t="shared" si="49"/>
        <v>0</v>
      </c>
      <c r="BD28" s="32">
        <f t="shared" si="14"/>
        <v>0</v>
      </c>
      <c r="BF28" s="3">
        <v>0</v>
      </c>
      <c r="BH28" s="3">
        <v>0</v>
      </c>
      <c r="BI28" s="222">
        <v>0</v>
      </c>
      <c r="BJ28" s="222">
        <f t="shared" si="50"/>
        <v>0</v>
      </c>
      <c r="BK28" s="32">
        <f t="shared" si="16"/>
        <v>0</v>
      </c>
      <c r="BM28" s="3"/>
      <c r="BO28" s="3">
        <v>0</v>
      </c>
      <c r="BP28" s="3">
        <v>0</v>
      </c>
      <c r="BQ28" s="3">
        <f t="shared" si="51"/>
        <v>0</v>
      </c>
      <c r="BR28" s="32">
        <f t="shared" si="18"/>
        <v>0</v>
      </c>
      <c r="BT28" s="3"/>
      <c r="BV28" s="3">
        <v>0</v>
      </c>
      <c r="BW28" s="34">
        <v>0</v>
      </c>
      <c r="BX28" s="3">
        <f t="shared" si="52"/>
        <v>0</v>
      </c>
      <c r="BY28" s="32">
        <f t="shared" si="20"/>
        <v>0</v>
      </c>
      <c r="CA28" s="3">
        <v>0</v>
      </c>
      <c r="CC28" s="3">
        <v>0</v>
      </c>
      <c r="CD28" s="3">
        <v>0</v>
      </c>
      <c r="CE28" s="3">
        <f t="shared" si="53"/>
        <v>0</v>
      </c>
      <c r="CF28" s="32">
        <f t="shared" si="22"/>
        <v>0</v>
      </c>
      <c r="CH28" s="3"/>
      <c r="CJ28" s="225">
        <f t="shared" si="23"/>
        <v>0</v>
      </c>
      <c r="CK28" s="3">
        <f t="shared" si="23"/>
        <v>0</v>
      </c>
      <c r="CL28" s="3">
        <f t="shared" si="41"/>
        <v>0</v>
      </c>
      <c r="CM28" s="32">
        <f t="shared" si="25"/>
        <v>0</v>
      </c>
      <c r="CO28" s="3">
        <f t="shared" si="26"/>
        <v>0</v>
      </c>
      <c r="CQ28" s="3">
        <v>0</v>
      </c>
      <c r="CR28" s="3">
        <f t="shared" si="54"/>
        <v>0</v>
      </c>
      <c r="CS28" s="3">
        <f t="shared" si="55"/>
        <v>0</v>
      </c>
      <c r="CT28" s="32">
        <f t="shared" si="29"/>
        <v>0</v>
      </c>
      <c r="CV28" s="3">
        <f t="shared" si="56"/>
        <v>0</v>
      </c>
      <c r="CX28" s="3">
        <f t="shared" si="31"/>
        <v>0</v>
      </c>
      <c r="CY28" s="3">
        <f t="shared" si="32"/>
        <v>0</v>
      </c>
      <c r="CZ28" s="3">
        <f t="shared" si="33"/>
        <v>0</v>
      </c>
      <c r="DA28" s="3">
        <f t="shared" si="34"/>
        <v>0</v>
      </c>
    </row>
    <row r="29" spans="1:105" s="31" customFormat="1" ht="16.5" customHeight="1" x14ac:dyDescent="0.3">
      <c r="A29" s="29">
        <v>25</v>
      </c>
      <c r="B29" s="30" t="s">
        <v>25</v>
      </c>
      <c r="D29" s="3">
        <v>1159282</v>
      </c>
      <c r="E29" s="3">
        <v>2915699.96</v>
      </c>
      <c r="F29" s="3">
        <f t="shared" si="42"/>
        <v>1756417.96</v>
      </c>
      <c r="G29" s="32">
        <f t="shared" si="1"/>
        <v>2.5150912030032382</v>
      </c>
      <c r="I29" s="3">
        <v>1748881.13</v>
      </c>
      <c r="J29" s="221"/>
      <c r="K29" s="33">
        <v>964121</v>
      </c>
      <c r="L29" s="222">
        <v>1674397.7</v>
      </c>
      <c r="M29" s="3">
        <f t="shared" si="43"/>
        <v>710276.7</v>
      </c>
      <c r="N29" s="32">
        <f t="shared" si="2"/>
        <v>1.7367090852704172</v>
      </c>
      <c r="P29" s="3">
        <f>2795407.79-1361539.64</f>
        <v>1433868.1500000001</v>
      </c>
      <c r="R29" s="3">
        <v>1444810</v>
      </c>
      <c r="S29" s="223">
        <v>1981931.87</v>
      </c>
      <c r="T29" s="3">
        <f t="shared" si="44"/>
        <v>537121.87000000011</v>
      </c>
      <c r="U29" s="32">
        <f t="shared" si="4"/>
        <v>1.3717595185526126</v>
      </c>
      <c r="W29" s="3">
        <v>2236301.06</v>
      </c>
      <c r="Y29" s="3">
        <v>982570</v>
      </c>
      <c r="Z29" s="223">
        <v>2134434.1</v>
      </c>
      <c r="AA29" s="3">
        <f t="shared" si="45"/>
        <v>1151864.1000000001</v>
      </c>
      <c r="AB29" s="32">
        <f t="shared" si="40"/>
        <v>2.1722972409090446</v>
      </c>
      <c r="AD29" s="3">
        <f>2769110.76-1316856.15</f>
        <v>1452254.6099999999</v>
      </c>
      <c r="AF29" s="3">
        <v>1098182</v>
      </c>
      <c r="AG29" s="3">
        <v>25990.53</v>
      </c>
      <c r="AH29" s="3">
        <f t="shared" si="46"/>
        <v>-1072191.47</v>
      </c>
      <c r="AI29" s="32">
        <f t="shared" si="8"/>
        <v>2.3666869426014994E-2</v>
      </c>
      <c r="AK29" s="3">
        <v>1638344.55</v>
      </c>
      <c r="AM29" s="3">
        <v>1017248</v>
      </c>
      <c r="AN29" s="222">
        <v>3991903.25</v>
      </c>
      <c r="AO29" s="3">
        <f t="shared" si="47"/>
        <v>2974655.25</v>
      </c>
      <c r="AP29" s="32">
        <f t="shared" si="10"/>
        <v>3.9242183322061091</v>
      </c>
      <c r="AR29" s="3">
        <v>1485129.56</v>
      </c>
      <c r="AT29" s="3">
        <v>1052002</v>
      </c>
      <c r="AU29" s="3">
        <v>2173979.7400000002</v>
      </c>
      <c r="AV29" s="3">
        <f t="shared" si="48"/>
        <v>1121977.7400000002</v>
      </c>
      <c r="AW29" s="32">
        <f t="shared" si="12"/>
        <v>2.0665167366601969</v>
      </c>
      <c r="AY29" s="3">
        <v>1532880.44</v>
      </c>
      <c r="BA29" s="3">
        <v>993426</v>
      </c>
      <c r="BB29" s="222">
        <v>2102107.7799999998</v>
      </c>
      <c r="BC29" s="222">
        <f t="shared" si="49"/>
        <v>1108681.7799999998</v>
      </c>
      <c r="BD29" s="32">
        <f t="shared" si="14"/>
        <v>2.1160184855238335</v>
      </c>
      <c r="BF29" s="3">
        <v>1446980.3</v>
      </c>
      <c r="BH29" s="3">
        <v>893140</v>
      </c>
      <c r="BI29" s="222">
        <v>1988810.79</v>
      </c>
      <c r="BJ29" s="222">
        <f t="shared" si="50"/>
        <v>1095670.79</v>
      </c>
      <c r="BK29" s="32">
        <f t="shared" si="16"/>
        <v>2.2267626463936225</v>
      </c>
      <c r="BM29" s="3">
        <v>1576407.43</v>
      </c>
      <c r="BO29" s="3">
        <v>889711</v>
      </c>
      <c r="BP29" s="3">
        <v>1992141.52</v>
      </c>
      <c r="BQ29" s="3">
        <f t="shared" si="51"/>
        <v>1102430.52</v>
      </c>
      <c r="BR29" s="32">
        <f t="shared" si="18"/>
        <v>2.2390883331778522</v>
      </c>
      <c r="BT29" s="3">
        <f>1531278.34-24752.82</f>
        <v>1506525.52</v>
      </c>
      <c r="BV29" s="3">
        <v>943024</v>
      </c>
      <c r="BW29" s="34">
        <v>3244467.77</v>
      </c>
      <c r="BX29" s="3">
        <f t="shared" si="52"/>
        <v>2301443.77</v>
      </c>
      <c r="BY29" s="32">
        <f t="shared" si="20"/>
        <v>3.4404933172432517</v>
      </c>
      <c r="CA29" s="3">
        <v>1601864.98</v>
      </c>
      <c r="CC29" s="3">
        <v>953330</v>
      </c>
      <c r="CD29" s="3">
        <v>3250918.95</v>
      </c>
      <c r="CE29" s="3">
        <f t="shared" si="53"/>
        <v>2297588.9500000002</v>
      </c>
      <c r="CF29" s="32">
        <f t="shared" si="22"/>
        <v>3.4100667659677133</v>
      </c>
      <c r="CH29" s="3">
        <v>1557373.41</v>
      </c>
      <c r="CJ29" s="225">
        <f t="shared" si="23"/>
        <v>12390846</v>
      </c>
      <c r="CK29" s="3">
        <f t="shared" si="23"/>
        <v>27476783.959999997</v>
      </c>
      <c r="CL29" s="3">
        <f t="shared" si="41"/>
        <v>12788349.009999998</v>
      </c>
      <c r="CM29" s="32">
        <f t="shared" si="25"/>
        <v>2.2175066948616742</v>
      </c>
      <c r="CO29" s="3">
        <f t="shared" si="26"/>
        <v>16108420.640000001</v>
      </c>
      <c r="CQ29" s="3">
        <v>12390846</v>
      </c>
      <c r="CR29" s="3">
        <f t="shared" si="54"/>
        <v>27476783.959999997</v>
      </c>
      <c r="CS29" s="3">
        <f t="shared" si="55"/>
        <v>15085937.959999997</v>
      </c>
      <c r="CT29" s="32">
        <f t="shared" si="29"/>
        <v>2.2175066948616742</v>
      </c>
      <c r="CV29" s="3">
        <f t="shared" si="56"/>
        <v>19216811.140000001</v>
      </c>
      <c r="CX29" s="3">
        <f t="shared" si="31"/>
        <v>2786065</v>
      </c>
      <c r="CY29" s="3">
        <f t="shared" si="32"/>
        <v>2786065</v>
      </c>
      <c r="CZ29" s="3">
        <f t="shared" si="33"/>
        <v>3203974.7499999995</v>
      </c>
      <c r="DA29" s="3">
        <f t="shared" si="34"/>
        <v>30680758.709999997</v>
      </c>
    </row>
    <row r="30" spans="1:105" s="31" customFormat="1" ht="16.5" customHeight="1" x14ac:dyDescent="0.3">
      <c r="A30" s="29">
        <v>26</v>
      </c>
      <c r="B30" s="30" t="s">
        <v>26</v>
      </c>
      <c r="D30" s="3">
        <v>255167</v>
      </c>
      <c r="E30" s="3">
        <v>325924</v>
      </c>
      <c r="F30" s="3">
        <f t="shared" si="42"/>
        <v>70757</v>
      </c>
      <c r="G30" s="32">
        <f t="shared" si="1"/>
        <v>1.277296829135429</v>
      </c>
      <c r="I30" s="3">
        <f>296708-2965</f>
        <v>293743</v>
      </c>
      <c r="J30" s="221"/>
      <c r="K30" s="33">
        <v>250609</v>
      </c>
      <c r="L30" s="222">
        <v>297069</v>
      </c>
      <c r="M30" s="3">
        <f t="shared" si="43"/>
        <v>46460</v>
      </c>
      <c r="N30" s="32">
        <f t="shared" si="2"/>
        <v>1.1853883938725265</v>
      </c>
      <c r="P30" s="3">
        <f>290231-1640</f>
        <v>288591</v>
      </c>
      <c r="R30" s="3">
        <v>275580</v>
      </c>
      <c r="S30" s="223">
        <v>330824</v>
      </c>
      <c r="T30" s="3">
        <f t="shared" si="44"/>
        <v>55244</v>
      </c>
      <c r="U30" s="32">
        <f t="shared" si="4"/>
        <v>1.2004644749256115</v>
      </c>
      <c r="W30" s="3">
        <f>319065-1610</f>
        <v>317455</v>
      </c>
      <c r="Y30" s="3">
        <v>277832</v>
      </c>
      <c r="Z30" s="223">
        <v>300543</v>
      </c>
      <c r="AA30" s="3">
        <f t="shared" si="45"/>
        <v>22711</v>
      </c>
      <c r="AB30" s="32">
        <f t="shared" si="40"/>
        <v>1.0817436436407613</v>
      </c>
      <c r="AD30" s="3">
        <f>322618-2601.5</f>
        <v>320016.5</v>
      </c>
      <c r="AF30" s="3">
        <v>277707</v>
      </c>
      <c r="AG30" s="3">
        <v>330755</v>
      </c>
      <c r="AH30" s="3">
        <f t="shared" si="46"/>
        <v>53048</v>
      </c>
      <c r="AI30" s="32">
        <f t="shared" si="8"/>
        <v>1.1910214722711348</v>
      </c>
      <c r="AK30" s="3">
        <f>321004-1725</f>
        <v>319279</v>
      </c>
      <c r="AM30" s="3">
        <v>273706</v>
      </c>
      <c r="AN30" s="222">
        <v>332756</v>
      </c>
      <c r="AO30" s="3">
        <f t="shared" si="47"/>
        <v>59050</v>
      </c>
      <c r="AP30" s="32">
        <f t="shared" si="10"/>
        <v>1.2157424389673592</v>
      </c>
      <c r="AR30" s="3">
        <f>315924-1178</f>
        <v>314746</v>
      </c>
      <c r="AT30" s="3">
        <v>284121</v>
      </c>
      <c r="AU30" s="3">
        <v>396696.5</v>
      </c>
      <c r="AV30" s="3">
        <f t="shared" si="48"/>
        <v>112575.5</v>
      </c>
      <c r="AW30" s="32">
        <f t="shared" si="12"/>
        <v>1.3962237919759539</v>
      </c>
      <c r="AY30" s="3">
        <f>329039-1745.5</f>
        <v>327293.5</v>
      </c>
      <c r="BA30" s="3">
        <v>318548</v>
      </c>
      <c r="BB30" s="222">
        <v>379233</v>
      </c>
      <c r="BC30" s="222">
        <f t="shared" si="49"/>
        <v>60685</v>
      </c>
      <c r="BD30" s="32">
        <f t="shared" si="14"/>
        <v>1.1905050416263796</v>
      </c>
      <c r="BF30" s="3">
        <f>369265-2443</f>
        <v>366822</v>
      </c>
      <c r="BH30" s="3">
        <v>240898</v>
      </c>
      <c r="BI30" s="222">
        <v>304458</v>
      </c>
      <c r="BJ30" s="222">
        <f t="shared" si="50"/>
        <v>63560</v>
      </c>
      <c r="BK30" s="32">
        <f t="shared" si="16"/>
        <v>1.2638461091416284</v>
      </c>
      <c r="BM30" s="3">
        <f>279204-8223</f>
        <v>270981</v>
      </c>
      <c r="BO30" s="3">
        <v>207924</v>
      </c>
      <c r="BP30" s="3">
        <v>391250</v>
      </c>
      <c r="BQ30" s="3">
        <f t="shared" si="51"/>
        <v>183326</v>
      </c>
      <c r="BR30" s="32">
        <f t="shared" si="18"/>
        <v>1.8816971585771725</v>
      </c>
      <c r="BT30" s="3">
        <f>308951-2732</f>
        <v>306219</v>
      </c>
      <c r="BV30" s="3">
        <v>197068</v>
      </c>
      <c r="BW30" s="34">
        <v>347579</v>
      </c>
      <c r="BX30" s="3">
        <f t="shared" si="52"/>
        <v>150511</v>
      </c>
      <c r="BY30" s="32">
        <f t="shared" si="20"/>
        <v>1.7637515984330281</v>
      </c>
      <c r="CA30" s="3">
        <f>283910-2553</f>
        <v>281357</v>
      </c>
      <c r="CC30" s="3">
        <v>197252</v>
      </c>
      <c r="CD30" s="3">
        <v>265148</v>
      </c>
      <c r="CE30" s="3">
        <f t="shared" si="53"/>
        <v>67896</v>
      </c>
      <c r="CF30" s="32">
        <f t="shared" si="22"/>
        <v>1.3442094376736358</v>
      </c>
      <c r="CH30" s="3">
        <f>259860-1375</f>
        <v>258485</v>
      </c>
      <c r="CJ30" s="225">
        <f t="shared" si="23"/>
        <v>3056412</v>
      </c>
      <c r="CK30" s="3">
        <f t="shared" si="23"/>
        <v>4002235.5</v>
      </c>
      <c r="CL30" s="3">
        <f t="shared" si="41"/>
        <v>877927.5</v>
      </c>
      <c r="CM30" s="32">
        <f t="shared" si="25"/>
        <v>1.3094554988005545</v>
      </c>
      <c r="CO30" s="3">
        <f t="shared" si="26"/>
        <v>3077412</v>
      </c>
      <c r="CQ30" s="3">
        <v>3056412</v>
      </c>
      <c r="CR30" s="3">
        <f t="shared" si="54"/>
        <v>4002235.5</v>
      </c>
      <c r="CS30" s="3">
        <f t="shared" si="55"/>
        <v>945823.5</v>
      </c>
      <c r="CT30" s="32">
        <f t="shared" si="29"/>
        <v>1.3094554988005545</v>
      </c>
      <c r="CV30" s="3">
        <f t="shared" si="56"/>
        <v>3664988</v>
      </c>
      <c r="CX30" s="3">
        <f t="shared" si="31"/>
        <v>602244</v>
      </c>
      <c r="CY30" s="3">
        <f t="shared" si="32"/>
        <v>602244</v>
      </c>
      <c r="CZ30" s="3">
        <f t="shared" si="33"/>
        <v>692580.6</v>
      </c>
      <c r="DA30" s="3">
        <f t="shared" si="34"/>
        <v>4694816.0999999996</v>
      </c>
    </row>
    <row r="31" spans="1:105" s="31" customFormat="1" ht="16.5" customHeight="1" x14ac:dyDescent="0.3">
      <c r="A31" s="29">
        <v>27</v>
      </c>
      <c r="B31" s="30" t="s">
        <v>27</v>
      </c>
      <c r="D31" s="3">
        <v>518</v>
      </c>
      <c r="E31" s="3">
        <v>1122</v>
      </c>
      <c r="F31" s="3">
        <f t="shared" si="42"/>
        <v>604</v>
      </c>
      <c r="G31" s="32">
        <f t="shared" si="1"/>
        <v>2.1660231660231659</v>
      </c>
      <c r="I31" s="3">
        <v>536</v>
      </c>
      <c r="J31" s="221"/>
      <c r="K31" s="33">
        <v>2796</v>
      </c>
      <c r="L31" s="222">
        <v>3366</v>
      </c>
      <c r="M31" s="3">
        <f t="shared" si="43"/>
        <v>570</v>
      </c>
      <c r="N31" s="32">
        <f t="shared" si="2"/>
        <v>1.203862660944206</v>
      </c>
      <c r="P31" s="3">
        <f>2859</f>
        <v>2859</v>
      </c>
      <c r="R31" s="3">
        <v>2590</v>
      </c>
      <c r="S31" s="223">
        <v>1683</v>
      </c>
      <c r="T31" s="3">
        <f t="shared" si="44"/>
        <v>-907</v>
      </c>
      <c r="U31" s="32">
        <f t="shared" si="4"/>
        <v>0.64980694980694975</v>
      </c>
      <c r="W31" s="3">
        <v>2680</v>
      </c>
      <c r="Y31" s="3">
        <v>518</v>
      </c>
      <c r="Z31" s="223">
        <v>3553</v>
      </c>
      <c r="AA31" s="3">
        <f t="shared" si="45"/>
        <v>3035</v>
      </c>
      <c r="AB31" s="32">
        <f t="shared" si="40"/>
        <v>6.859073359073359</v>
      </c>
      <c r="AD31" s="3">
        <v>536</v>
      </c>
      <c r="AF31" s="3">
        <v>1036</v>
      </c>
      <c r="AG31" s="3">
        <v>3740</v>
      </c>
      <c r="AH31" s="3">
        <f t="shared" si="46"/>
        <v>2704</v>
      </c>
      <c r="AI31" s="32">
        <f t="shared" si="8"/>
        <v>3.6100386100386102</v>
      </c>
      <c r="AK31" s="3">
        <v>1072</v>
      </c>
      <c r="AM31" s="3">
        <v>5698</v>
      </c>
      <c r="AN31" s="222">
        <v>4301</v>
      </c>
      <c r="AO31" s="3">
        <f t="shared" si="47"/>
        <v>-1397</v>
      </c>
      <c r="AP31" s="32">
        <f t="shared" si="10"/>
        <v>0.75482625482625487</v>
      </c>
      <c r="AR31" s="3">
        <v>5896</v>
      </c>
      <c r="AT31" s="3">
        <v>2383</v>
      </c>
      <c r="AU31" s="3">
        <v>1683</v>
      </c>
      <c r="AV31" s="3">
        <f t="shared" si="48"/>
        <v>-700</v>
      </c>
      <c r="AW31" s="32">
        <f t="shared" si="12"/>
        <v>0.70625262274443978</v>
      </c>
      <c r="AY31" s="3">
        <v>2414</v>
      </c>
      <c r="BA31" s="3">
        <v>1554</v>
      </c>
      <c r="BB31" s="222">
        <v>2244</v>
      </c>
      <c r="BC31" s="222">
        <f t="shared" si="49"/>
        <v>690</v>
      </c>
      <c r="BD31" s="32">
        <f t="shared" si="14"/>
        <v>1.444015444015444</v>
      </c>
      <c r="BF31" s="3">
        <v>1608</v>
      </c>
      <c r="BH31" s="3">
        <v>5603</v>
      </c>
      <c r="BI31" s="222">
        <v>4488</v>
      </c>
      <c r="BJ31" s="222">
        <f t="shared" si="50"/>
        <v>-1115</v>
      </c>
      <c r="BK31" s="32">
        <f t="shared" si="16"/>
        <v>0.80099946457255045</v>
      </c>
      <c r="BM31" s="3">
        <v>1608</v>
      </c>
      <c r="BO31" s="3">
        <v>966</v>
      </c>
      <c r="BP31" s="3">
        <v>148396</v>
      </c>
      <c r="BQ31" s="3">
        <f t="shared" si="51"/>
        <v>147430</v>
      </c>
      <c r="BR31" s="32">
        <f t="shared" si="18"/>
        <v>153.61904761904762</v>
      </c>
      <c r="BT31" s="3">
        <f>2680</f>
        <v>2680</v>
      </c>
      <c r="BV31" s="3">
        <v>966</v>
      </c>
      <c r="BW31" s="34">
        <v>63290</v>
      </c>
      <c r="BX31" s="3">
        <f t="shared" si="52"/>
        <v>62324</v>
      </c>
      <c r="BY31" s="32">
        <f t="shared" si="20"/>
        <v>65.517598343685293</v>
      </c>
      <c r="CA31" s="3">
        <f>1698</f>
        <v>1698</v>
      </c>
      <c r="CC31" s="3">
        <v>3772</v>
      </c>
      <c r="CD31" s="3">
        <v>2992</v>
      </c>
      <c r="CE31" s="3">
        <f t="shared" si="53"/>
        <v>-780</v>
      </c>
      <c r="CF31" s="32">
        <f t="shared" si="22"/>
        <v>0.79321314952279953</v>
      </c>
      <c r="CH31" s="3">
        <v>2324</v>
      </c>
      <c r="CJ31" s="225">
        <f t="shared" si="23"/>
        <v>28400</v>
      </c>
      <c r="CK31" s="3">
        <f t="shared" si="23"/>
        <v>240858</v>
      </c>
      <c r="CL31" s="3">
        <f t="shared" si="41"/>
        <v>213238</v>
      </c>
      <c r="CM31" s="32">
        <f t="shared" si="25"/>
        <v>8.480915492957747</v>
      </c>
      <c r="CO31" s="3">
        <f t="shared" si="26"/>
        <v>21533</v>
      </c>
      <c r="CQ31" s="3">
        <v>28400</v>
      </c>
      <c r="CR31" s="3">
        <f t="shared" si="54"/>
        <v>240858</v>
      </c>
      <c r="CS31" s="3">
        <f t="shared" si="55"/>
        <v>212458</v>
      </c>
      <c r="CT31" s="32">
        <f t="shared" si="29"/>
        <v>8.480915492957747</v>
      </c>
      <c r="CV31" s="3">
        <f t="shared" si="56"/>
        <v>25911</v>
      </c>
      <c r="CX31" s="3">
        <f t="shared" si="31"/>
        <v>5704</v>
      </c>
      <c r="CY31" s="3">
        <f t="shared" si="32"/>
        <v>5704</v>
      </c>
      <c r="CZ31" s="3">
        <f t="shared" si="33"/>
        <v>6559.5999999999995</v>
      </c>
      <c r="DA31" s="3">
        <f t="shared" si="34"/>
        <v>247417.60000000001</v>
      </c>
    </row>
    <row r="32" spans="1:105" s="31" customFormat="1" ht="16.5" customHeight="1" x14ac:dyDescent="0.3">
      <c r="A32" s="29">
        <v>28</v>
      </c>
      <c r="B32" s="30" t="s">
        <v>28</v>
      </c>
      <c r="D32" s="3">
        <v>1129432</v>
      </c>
      <c r="E32" s="3">
        <v>2208296.65</v>
      </c>
      <c r="F32" s="3">
        <f t="shared" si="42"/>
        <v>1078864.6499999999</v>
      </c>
      <c r="G32" s="32">
        <f t="shared" si="1"/>
        <v>1.9552276276925038</v>
      </c>
      <c r="I32" s="3">
        <f>1335080.41-6419.2</f>
        <v>1328661.21</v>
      </c>
      <c r="J32" s="221"/>
      <c r="K32" s="33">
        <v>654297</v>
      </c>
      <c r="L32" s="222">
        <v>775821.01</v>
      </c>
      <c r="M32" s="3">
        <f t="shared" si="43"/>
        <v>121524.01000000001</v>
      </c>
      <c r="N32" s="32">
        <f t="shared" si="2"/>
        <v>1.1857321827854934</v>
      </c>
      <c r="P32" s="3">
        <f>751355.06-723</f>
        <v>750632.06</v>
      </c>
      <c r="R32" s="3">
        <v>399332</v>
      </c>
      <c r="S32" s="223">
        <v>788786.35</v>
      </c>
      <c r="T32" s="3">
        <f t="shared" si="44"/>
        <v>389454.35</v>
      </c>
      <c r="U32" s="32">
        <f t="shared" si="4"/>
        <v>1.9752645668266005</v>
      </c>
      <c r="W32" s="3">
        <f>474357.33-5151</f>
        <v>469206.33</v>
      </c>
      <c r="Y32" s="3">
        <v>308564</v>
      </c>
      <c r="Z32" s="223">
        <v>371439.88</v>
      </c>
      <c r="AA32" s="3">
        <f t="shared" si="45"/>
        <v>62875.880000000005</v>
      </c>
      <c r="AB32" s="32">
        <f t="shared" si="40"/>
        <v>1.2037693314839062</v>
      </c>
      <c r="AD32" s="3">
        <f>347794.85-1221</f>
        <v>346573.85</v>
      </c>
      <c r="AF32" s="3">
        <v>280371</v>
      </c>
      <c r="AG32" s="3">
        <v>499056.92</v>
      </c>
      <c r="AH32" s="3">
        <f t="shared" si="46"/>
        <v>218685.91999999998</v>
      </c>
      <c r="AI32" s="32">
        <f t="shared" si="8"/>
        <v>1.7799876592086912</v>
      </c>
      <c r="AK32" s="3">
        <f>305975.03-1516</f>
        <v>304459.03000000003</v>
      </c>
      <c r="AM32" s="3">
        <v>239492</v>
      </c>
      <c r="AN32" s="222">
        <v>584635.44999999995</v>
      </c>
      <c r="AO32" s="3">
        <f t="shared" si="47"/>
        <v>345143.44999999995</v>
      </c>
      <c r="AP32" s="32">
        <f t="shared" si="10"/>
        <v>2.4411481385599516</v>
      </c>
      <c r="AR32" s="3">
        <f>270080.78-3107.44</f>
        <v>266973.34000000003</v>
      </c>
      <c r="AT32" s="3">
        <v>214842</v>
      </c>
      <c r="AU32" s="3">
        <v>302334.01</v>
      </c>
      <c r="AV32" s="3">
        <f t="shared" si="48"/>
        <v>87492.010000000009</v>
      </c>
      <c r="AW32" s="32">
        <f t="shared" si="12"/>
        <v>1.4072388546001249</v>
      </c>
      <c r="AY32" s="3">
        <f>241235.82-1496</f>
        <v>239739.82</v>
      </c>
      <c r="BA32" s="3">
        <v>211782</v>
      </c>
      <c r="BB32" s="222">
        <v>230896.76</v>
      </c>
      <c r="BC32" s="222">
        <f t="shared" si="49"/>
        <v>19114.760000000009</v>
      </c>
      <c r="BD32" s="32">
        <f t="shared" si="14"/>
        <v>1.0902567734746107</v>
      </c>
      <c r="BF32" s="3">
        <f>239435.2-262</f>
        <v>239173.2</v>
      </c>
      <c r="BH32" s="3">
        <v>207744</v>
      </c>
      <c r="BI32" s="222">
        <v>221708.07</v>
      </c>
      <c r="BJ32" s="222">
        <f t="shared" si="50"/>
        <v>13964.070000000007</v>
      </c>
      <c r="BK32" s="32">
        <f t="shared" si="16"/>
        <v>1.0672176813770795</v>
      </c>
      <c r="BM32" s="3">
        <f>277104.46-306</f>
        <v>276798.46000000002</v>
      </c>
      <c r="BO32" s="3">
        <v>166868</v>
      </c>
      <c r="BP32" s="3">
        <v>307358.39</v>
      </c>
      <c r="BQ32" s="3">
        <f t="shared" si="51"/>
        <v>140490.39000000001</v>
      </c>
      <c r="BR32" s="32">
        <f t="shared" si="18"/>
        <v>1.8419252942445528</v>
      </c>
      <c r="BT32" s="3">
        <f>267731.07-1122</f>
        <v>266609.07</v>
      </c>
      <c r="BV32" s="3">
        <v>199970</v>
      </c>
      <c r="BW32" s="34">
        <v>195509.91</v>
      </c>
      <c r="BX32" s="3">
        <f t="shared" si="52"/>
        <v>-4460.0899999999965</v>
      </c>
      <c r="BY32" s="32">
        <f t="shared" si="20"/>
        <v>0.97769620443066463</v>
      </c>
      <c r="CA32" s="3">
        <f>266940.85-748</f>
        <v>266192.84999999998</v>
      </c>
      <c r="CC32" s="3">
        <v>215956</v>
      </c>
      <c r="CD32" s="3">
        <v>234868.18</v>
      </c>
      <c r="CE32" s="3">
        <f t="shared" si="53"/>
        <v>18912.179999999993</v>
      </c>
      <c r="CF32" s="32">
        <f t="shared" si="22"/>
        <v>1.0875742280834984</v>
      </c>
      <c r="CH32" s="3">
        <f>284455.35-846</f>
        <v>283609.34999999998</v>
      </c>
      <c r="CJ32" s="225">
        <f t="shared" si="23"/>
        <v>4228650</v>
      </c>
      <c r="CK32" s="3">
        <f t="shared" si="23"/>
        <v>6720711.5800000001</v>
      </c>
      <c r="CL32" s="3">
        <f t="shared" si="41"/>
        <v>2473149.3999999994</v>
      </c>
      <c r="CM32" s="32">
        <f t="shared" si="25"/>
        <v>1.589327936811985</v>
      </c>
      <c r="CO32" s="3">
        <f t="shared" si="26"/>
        <v>4505826.6500000004</v>
      </c>
      <c r="CQ32" s="3">
        <v>4228650</v>
      </c>
      <c r="CR32" s="3">
        <f t="shared" si="54"/>
        <v>6720711.5800000001</v>
      </c>
      <c r="CS32" s="3">
        <f t="shared" si="55"/>
        <v>2492061.58</v>
      </c>
      <c r="CT32" s="32">
        <f t="shared" si="29"/>
        <v>1.589327936811985</v>
      </c>
      <c r="CV32" s="3">
        <f t="shared" si="56"/>
        <v>5038628.57</v>
      </c>
      <c r="CX32" s="3">
        <f t="shared" si="31"/>
        <v>582794</v>
      </c>
      <c r="CY32" s="3">
        <f t="shared" si="32"/>
        <v>582794</v>
      </c>
      <c r="CZ32" s="3">
        <f t="shared" si="33"/>
        <v>670213.1</v>
      </c>
      <c r="DA32" s="3">
        <f t="shared" si="34"/>
        <v>7390924.6799999997</v>
      </c>
    </row>
    <row r="33" spans="1:105" s="31" customFormat="1" ht="16.5" customHeight="1" x14ac:dyDescent="0.3">
      <c r="A33" s="29">
        <v>29</v>
      </c>
      <c r="B33" s="30" t="s">
        <v>29</v>
      </c>
      <c r="D33" s="3">
        <v>63484</v>
      </c>
      <c r="E33" s="3">
        <v>76319</v>
      </c>
      <c r="F33" s="3">
        <f t="shared" si="42"/>
        <v>12835</v>
      </c>
      <c r="G33" s="32">
        <f t="shared" si="1"/>
        <v>1.2021769264696616</v>
      </c>
      <c r="I33" s="3">
        <f>84077-357</f>
        <v>83720</v>
      </c>
      <c r="J33" s="221"/>
      <c r="K33" s="33">
        <v>51276</v>
      </c>
      <c r="L33" s="222">
        <v>107586</v>
      </c>
      <c r="M33" s="3">
        <f t="shared" si="43"/>
        <v>56310</v>
      </c>
      <c r="N33" s="32">
        <f t="shared" si="2"/>
        <v>2.0981745846009829</v>
      </c>
      <c r="P33" s="3">
        <f>67384-483</f>
        <v>66901</v>
      </c>
      <c r="R33" s="3">
        <v>126416</v>
      </c>
      <c r="S33" s="223">
        <v>77510</v>
      </c>
      <c r="T33" s="3">
        <f t="shared" si="44"/>
        <v>-48906</v>
      </c>
      <c r="U33" s="32">
        <f t="shared" si="4"/>
        <v>0.61313441336539676</v>
      </c>
      <c r="W33" s="3">
        <f>102115-8942.5</f>
        <v>93172.5</v>
      </c>
      <c r="Y33" s="3">
        <v>63792</v>
      </c>
      <c r="Z33" s="223">
        <v>77519</v>
      </c>
      <c r="AA33" s="3">
        <f t="shared" si="45"/>
        <v>13727</v>
      </c>
      <c r="AB33" s="32">
        <f t="shared" si="40"/>
        <v>1.2151837220968147</v>
      </c>
      <c r="AD33" s="3">
        <f>79596-714</f>
        <v>78882</v>
      </c>
      <c r="AF33" s="3">
        <v>60343</v>
      </c>
      <c r="AG33" s="3">
        <v>108448</v>
      </c>
      <c r="AH33" s="3">
        <f t="shared" si="46"/>
        <v>48105</v>
      </c>
      <c r="AI33" s="32">
        <f t="shared" si="8"/>
        <v>1.7971927149793681</v>
      </c>
      <c r="AK33" s="3">
        <v>77379</v>
      </c>
      <c r="AM33" s="3">
        <v>48173</v>
      </c>
      <c r="AN33" s="222">
        <v>93157</v>
      </c>
      <c r="AO33" s="3">
        <f t="shared" si="47"/>
        <v>44984</v>
      </c>
      <c r="AP33" s="32">
        <f t="shared" si="10"/>
        <v>1.9338010918979511</v>
      </c>
      <c r="AR33" s="3">
        <f>59290-1522</f>
        <v>57768</v>
      </c>
      <c r="AT33" s="3">
        <v>57064</v>
      </c>
      <c r="AU33" s="3">
        <v>83356</v>
      </c>
      <c r="AV33" s="3">
        <f t="shared" si="48"/>
        <v>26292</v>
      </c>
      <c r="AW33" s="32">
        <f t="shared" si="12"/>
        <v>1.4607458292443571</v>
      </c>
      <c r="AY33" s="3">
        <f>71851-357</f>
        <v>71494</v>
      </c>
      <c r="BA33" s="3">
        <v>63608</v>
      </c>
      <c r="BB33" s="222">
        <v>95548</v>
      </c>
      <c r="BC33" s="222">
        <f t="shared" si="49"/>
        <v>31940</v>
      </c>
      <c r="BD33" s="32">
        <f t="shared" si="14"/>
        <v>1.5021380958370016</v>
      </c>
      <c r="BF33" s="3">
        <f>79457-3077</f>
        <v>76380</v>
      </c>
      <c r="BH33" s="3">
        <v>403967</v>
      </c>
      <c r="BI33" s="222">
        <v>85514</v>
      </c>
      <c r="BJ33" s="222">
        <f t="shared" si="50"/>
        <v>-318453</v>
      </c>
      <c r="BK33" s="32">
        <f t="shared" si="16"/>
        <v>0.21168560798283029</v>
      </c>
      <c r="BM33" s="3">
        <v>80519</v>
      </c>
      <c r="BO33" s="3">
        <v>43357</v>
      </c>
      <c r="BP33" s="3">
        <v>85083</v>
      </c>
      <c r="BQ33" s="3">
        <f t="shared" si="51"/>
        <v>41726</v>
      </c>
      <c r="BR33" s="32">
        <f t="shared" si="18"/>
        <v>1.9623820836312476</v>
      </c>
      <c r="BT33" s="3">
        <f>59339-178.5</f>
        <v>59160.5</v>
      </c>
      <c r="BV33" s="3">
        <v>51178</v>
      </c>
      <c r="BW33" s="34">
        <v>117812</v>
      </c>
      <c r="BX33" s="3">
        <f t="shared" si="52"/>
        <v>66634</v>
      </c>
      <c r="BY33" s="32">
        <f t="shared" si="20"/>
        <v>2.3020047676736097</v>
      </c>
      <c r="CA33" s="3">
        <f>95876-7106</f>
        <v>88770</v>
      </c>
      <c r="CC33" s="3">
        <v>78716</v>
      </c>
      <c r="CD33" s="3">
        <v>222579</v>
      </c>
      <c r="CE33" s="3">
        <f t="shared" si="53"/>
        <v>143863</v>
      </c>
      <c r="CF33" s="32">
        <f t="shared" si="22"/>
        <v>2.8276208140657553</v>
      </c>
      <c r="CH33" s="3">
        <f>85771-178.5</f>
        <v>85592.5</v>
      </c>
      <c r="CJ33" s="225">
        <f t="shared" si="23"/>
        <v>1111374</v>
      </c>
      <c r="CK33" s="3">
        <f t="shared" si="23"/>
        <v>1230431</v>
      </c>
      <c r="CL33" s="3">
        <f t="shared" si="41"/>
        <v>-24806</v>
      </c>
      <c r="CM33" s="32">
        <f t="shared" si="25"/>
        <v>1.1071259539992837</v>
      </c>
      <c r="CO33" s="3">
        <f t="shared" si="26"/>
        <v>771808</v>
      </c>
      <c r="CQ33" s="3">
        <v>1111374</v>
      </c>
      <c r="CR33" s="3">
        <f t="shared" si="54"/>
        <v>1230431</v>
      </c>
      <c r="CS33" s="3">
        <f t="shared" si="55"/>
        <v>119057</v>
      </c>
      <c r="CT33" s="32">
        <f t="shared" si="29"/>
        <v>1.1071259539992837</v>
      </c>
      <c r="CV33" s="3">
        <f t="shared" si="56"/>
        <v>919738.5</v>
      </c>
      <c r="CX33" s="3">
        <f t="shared" si="31"/>
        <v>173251</v>
      </c>
      <c r="CY33" s="3">
        <f t="shared" si="32"/>
        <v>173251</v>
      </c>
      <c r="CZ33" s="3">
        <f t="shared" si="33"/>
        <v>199238.65</v>
      </c>
      <c r="DA33" s="3">
        <f t="shared" si="34"/>
        <v>1429669.65</v>
      </c>
    </row>
    <row r="34" spans="1:105" s="31" customFormat="1" ht="16.5" customHeight="1" x14ac:dyDescent="0.3">
      <c r="A34" s="29">
        <v>30</v>
      </c>
      <c r="B34" s="30" t="s">
        <v>30</v>
      </c>
      <c r="D34" s="3">
        <v>554799</v>
      </c>
      <c r="E34" s="3">
        <v>980713.87</v>
      </c>
      <c r="F34" s="3">
        <f t="shared" si="42"/>
        <v>425914.87</v>
      </c>
      <c r="G34" s="32">
        <f t="shared" si="1"/>
        <v>1.7676922092505574</v>
      </c>
      <c r="I34" s="3">
        <f>661838.69-1952.3</f>
        <v>659886.3899999999</v>
      </c>
      <c r="J34" s="221"/>
      <c r="K34" s="33">
        <v>497454</v>
      </c>
      <c r="L34" s="222">
        <v>756813.57</v>
      </c>
      <c r="M34" s="3">
        <f t="shared" si="43"/>
        <v>259359.56999999995</v>
      </c>
      <c r="N34" s="32">
        <f t="shared" si="2"/>
        <v>1.5213739762872547</v>
      </c>
      <c r="P34" s="3">
        <f>591644.6-2312.24</f>
        <v>589332.36</v>
      </c>
      <c r="R34" s="3">
        <v>540519</v>
      </c>
      <c r="S34" s="223">
        <v>802003.35000000009</v>
      </c>
      <c r="T34" s="3">
        <f t="shared" si="44"/>
        <v>261484.35000000009</v>
      </c>
      <c r="U34" s="32">
        <f t="shared" si="4"/>
        <v>1.4837653255482233</v>
      </c>
      <c r="W34" s="3">
        <f>646975.76-5829.88</f>
        <v>641145.88</v>
      </c>
      <c r="Y34" s="3">
        <v>666888</v>
      </c>
      <c r="Z34" s="223">
        <v>699923.01</v>
      </c>
      <c r="AA34" s="3">
        <f t="shared" si="45"/>
        <v>33035.010000000009</v>
      </c>
      <c r="AB34" s="32">
        <f t="shared" si="40"/>
        <v>1.0495360690250837</v>
      </c>
      <c r="AD34" s="3">
        <f>792088.51-3788.14</f>
        <v>788300.37</v>
      </c>
      <c r="AF34" s="3">
        <v>648587</v>
      </c>
      <c r="AG34" s="3">
        <v>812601.06</v>
      </c>
      <c r="AH34" s="3">
        <f t="shared" si="46"/>
        <v>164014.06000000006</v>
      </c>
      <c r="AI34" s="32">
        <f t="shared" si="8"/>
        <v>1.2528790432123986</v>
      </c>
      <c r="AK34" s="3">
        <f>770438.6-1835.16</f>
        <v>768603.44</v>
      </c>
      <c r="AM34" s="3">
        <v>582681</v>
      </c>
      <c r="AN34" s="222">
        <v>798124.2</v>
      </c>
      <c r="AO34" s="3">
        <f t="shared" si="47"/>
        <v>215443.19999999995</v>
      </c>
      <c r="AP34" s="32">
        <f t="shared" si="10"/>
        <v>1.3697446801937938</v>
      </c>
      <c r="AR34" s="3">
        <f>691191.55-2383</f>
        <v>688808.55</v>
      </c>
      <c r="AT34" s="3">
        <v>481307</v>
      </c>
      <c r="AU34" s="3">
        <v>820207.13</v>
      </c>
      <c r="AV34" s="3">
        <f t="shared" si="48"/>
        <v>338900.13</v>
      </c>
      <c r="AW34" s="32">
        <f t="shared" si="12"/>
        <v>1.7041246647150363</v>
      </c>
      <c r="AY34" s="3">
        <f>574372.75-4197.76</f>
        <v>570174.99</v>
      </c>
      <c r="BA34" s="3">
        <v>669785</v>
      </c>
      <c r="BB34" s="222">
        <v>846668.52</v>
      </c>
      <c r="BC34" s="222">
        <f t="shared" si="49"/>
        <v>176883.52000000002</v>
      </c>
      <c r="BD34" s="32">
        <f t="shared" si="14"/>
        <v>1.2640899990295393</v>
      </c>
      <c r="BF34" s="3">
        <f>794151.27-1312.32</f>
        <v>792838.95000000007</v>
      </c>
      <c r="BH34" s="3">
        <v>399186</v>
      </c>
      <c r="BI34" s="222">
        <v>769116.02</v>
      </c>
      <c r="BJ34" s="222">
        <f t="shared" si="50"/>
        <v>369930.02</v>
      </c>
      <c r="BK34" s="32">
        <f t="shared" si="16"/>
        <v>1.9267109066951247</v>
      </c>
      <c r="BM34" s="3">
        <f>754458.19-3475.16</f>
        <v>750983.02999999991</v>
      </c>
      <c r="BO34" s="3">
        <v>425430</v>
      </c>
      <c r="BP34" s="3">
        <v>776999.37</v>
      </c>
      <c r="BQ34" s="3">
        <f t="shared" si="51"/>
        <v>351569.37</v>
      </c>
      <c r="BR34" s="32">
        <f t="shared" si="18"/>
        <v>1.8263859389323742</v>
      </c>
      <c r="BT34" s="3">
        <f>651340.26-2025.4</f>
        <v>649314.86</v>
      </c>
      <c r="BV34" s="3">
        <v>411093</v>
      </c>
      <c r="BW34" s="34">
        <v>754847.59</v>
      </c>
      <c r="BX34" s="3">
        <f t="shared" si="52"/>
        <v>343754.58999999997</v>
      </c>
      <c r="BY34" s="32">
        <f t="shared" si="20"/>
        <v>1.8361966513659926</v>
      </c>
      <c r="CA34" s="3">
        <f>684237.93</f>
        <v>684237.93</v>
      </c>
      <c r="CC34" s="3">
        <v>552291</v>
      </c>
      <c r="CD34" s="3">
        <v>884330.81</v>
      </c>
      <c r="CE34" s="3">
        <f t="shared" si="53"/>
        <v>332039.81000000006</v>
      </c>
      <c r="CF34" s="32">
        <f t="shared" si="22"/>
        <v>1.6012044556221268</v>
      </c>
      <c r="CH34" s="3">
        <f>860922.14-3855.76</f>
        <v>857066.38</v>
      </c>
      <c r="CJ34" s="225">
        <f t="shared" si="23"/>
        <v>6430020</v>
      </c>
      <c r="CK34" s="3">
        <f t="shared" si="23"/>
        <v>9702348.5</v>
      </c>
      <c r="CL34" s="3">
        <f t="shared" si="41"/>
        <v>2940288.69</v>
      </c>
      <c r="CM34" s="32">
        <f t="shared" si="25"/>
        <v>1.5089142024441604</v>
      </c>
      <c r="CO34" s="3">
        <f t="shared" si="26"/>
        <v>7107140.3400000008</v>
      </c>
      <c r="CQ34" s="3">
        <v>6430020</v>
      </c>
      <c r="CR34" s="3">
        <f t="shared" si="54"/>
        <v>9702348.5</v>
      </c>
      <c r="CS34" s="3">
        <f t="shared" si="55"/>
        <v>3272328.5</v>
      </c>
      <c r="CT34" s="32">
        <f t="shared" si="29"/>
        <v>1.5089142024441604</v>
      </c>
      <c r="CV34" s="3">
        <f t="shared" si="56"/>
        <v>8440693.1300000008</v>
      </c>
      <c r="CX34" s="3">
        <f t="shared" si="31"/>
        <v>1388814</v>
      </c>
      <c r="CY34" s="3">
        <f t="shared" si="32"/>
        <v>1388814</v>
      </c>
      <c r="CZ34" s="3">
        <f t="shared" si="33"/>
        <v>1597136.0999999999</v>
      </c>
      <c r="DA34" s="3">
        <f t="shared" si="34"/>
        <v>11299484.6</v>
      </c>
    </row>
    <row r="35" spans="1:105" s="31" customFormat="1" ht="16.5" customHeight="1" x14ac:dyDescent="0.3">
      <c r="A35" s="29">
        <v>31</v>
      </c>
      <c r="B35" s="30" t="s">
        <v>31</v>
      </c>
      <c r="D35" s="3">
        <v>45</v>
      </c>
      <c r="E35" s="3">
        <v>0</v>
      </c>
      <c r="F35" s="3">
        <f t="shared" si="42"/>
        <v>-45</v>
      </c>
      <c r="G35" s="32">
        <f t="shared" si="1"/>
        <v>0</v>
      </c>
      <c r="I35" s="3">
        <v>0</v>
      </c>
      <c r="J35" s="221"/>
      <c r="K35" s="33">
        <v>45</v>
      </c>
      <c r="L35" s="222">
        <v>0</v>
      </c>
      <c r="M35" s="3">
        <f t="shared" si="43"/>
        <v>-45</v>
      </c>
      <c r="N35" s="32">
        <f t="shared" si="2"/>
        <v>0</v>
      </c>
      <c r="P35" s="3">
        <v>0</v>
      </c>
      <c r="R35" s="3">
        <v>45</v>
      </c>
      <c r="S35" s="223"/>
      <c r="T35" s="3">
        <f t="shared" si="44"/>
        <v>-45</v>
      </c>
      <c r="U35" s="32">
        <f t="shared" si="4"/>
        <v>0</v>
      </c>
      <c r="W35" s="3"/>
      <c r="Y35" s="3">
        <v>45</v>
      </c>
      <c r="Z35" s="223">
        <v>0</v>
      </c>
      <c r="AA35" s="3">
        <f t="shared" si="45"/>
        <v>-45</v>
      </c>
      <c r="AB35" s="32">
        <f t="shared" si="40"/>
        <v>0</v>
      </c>
      <c r="AD35" s="3"/>
      <c r="AF35" s="3">
        <v>45</v>
      </c>
      <c r="AG35" s="3">
        <v>0</v>
      </c>
      <c r="AH35" s="3">
        <f t="shared" si="46"/>
        <v>-45</v>
      </c>
      <c r="AI35" s="32">
        <f t="shared" si="8"/>
        <v>0</v>
      </c>
      <c r="AK35" s="3"/>
      <c r="AM35" s="3">
        <v>45</v>
      </c>
      <c r="AN35" s="222">
        <v>0</v>
      </c>
      <c r="AO35" s="3">
        <f t="shared" si="47"/>
        <v>-45</v>
      </c>
      <c r="AP35" s="32">
        <f t="shared" si="10"/>
        <v>0</v>
      </c>
      <c r="AR35" s="3"/>
      <c r="AT35" s="3">
        <v>45</v>
      </c>
      <c r="AU35" s="3">
        <v>0</v>
      </c>
      <c r="AV35" s="3">
        <f t="shared" si="48"/>
        <v>-45</v>
      </c>
      <c r="AW35" s="32">
        <f t="shared" si="12"/>
        <v>0</v>
      </c>
      <c r="AY35" s="3"/>
      <c r="BA35" s="3">
        <v>45</v>
      </c>
      <c r="BB35" s="222">
        <v>0</v>
      </c>
      <c r="BC35" s="222">
        <f t="shared" si="49"/>
        <v>-45</v>
      </c>
      <c r="BD35" s="32">
        <f t="shared" si="14"/>
        <v>0</v>
      </c>
      <c r="BF35" s="3">
        <v>0</v>
      </c>
      <c r="BH35" s="3">
        <v>45</v>
      </c>
      <c r="BI35" s="222">
        <v>0</v>
      </c>
      <c r="BJ35" s="222">
        <f t="shared" si="50"/>
        <v>-45</v>
      </c>
      <c r="BK35" s="32">
        <f t="shared" si="16"/>
        <v>0</v>
      </c>
      <c r="BM35" s="3"/>
      <c r="BO35" s="3">
        <v>45</v>
      </c>
      <c r="BP35" s="3">
        <v>0</v>
      </c>
      <c r="BQ35" s="3">
        <f t="shared" si="51"/>
        <v>-45</v>
      </c>
      <c r="BR35" s="32">
        <f t="shared" si="18"/>
        <v>0</v>
      </c>
      <c r="BT35" s="3"/>
      <c r="BV35" s="3">
        <v>45</v>
      </c>
      <c r="BW35" s="34">
        <v>0</v>
      </c>
      <c r="BX35" s="3">
        <f t="shared" si="52"/>
        <v>-45</v>
      </c>
      <c r="BY35" s="32">
        <f t="shared" si="20"/>
        <v>0</v>
      </c>
      <c r="CA35" s="3"/>
      <c r="CC35" s="3">
        <v>54</v>
      </c>
      <c r="CD35" s="3">
        <v>0</v>
      </c>
      <c r="CE35" s="3">
        <f t="shared" si="53"/>
        <v>-54</v>
      </c>
      <c r="CF35" s="32">
        <f t="shared" si="22"/>
        <v>0</v>
      </c>
      <c r="CH35" s="3"/>
      <c r="CJ35" s="225">
        <f t="shared" si="23"/>
        <v>549</v>
      </c>
      <c r="CK35" s="3">
        <f t="shared" si="23"/>
        <v>0</v>
      </c>
      <c r="CL35" s="3">
        <f t="shared" si="41"/>
        <v>-495</v>
      </c>
      <c r="CM35" s="32">
        <f t="shared" si="25"/>
        <v>0</v>
      </c>
      <c r="CO35" s="3">
        <f t="shared" si="26"/>
        <v>0</v>
      </c>
      <c r="CQ35" s="3">
        <v>549</v>
      </c>
      <c r="CR35" s="3">
        <f t="shared" si="54"/>
        <v>0</v>
      </c>
      <c r="CS35" s="3">
        <f t="shared" si="55"/>
        <v>-549</v>
      </c>
      <c r="CT35" s="32">
        <f t="shared" si="29"/>
        <v>0</v>
      </c>
      <c r="CV35" s="3">
        <f t="shared" si="56"/>
        <v>0</v>
      </c>
      <c r="CX35" s="3">
        <f t="shared" si="31"/>
        <v>144</v>
      </c>
      <c r="CY35" s="3">
        <f t="shared" si="32"/>
        <v>144</v>
      </c>
      <c r="CZ35" s="3">
        <f t="shared" si="33"/>
        <v>165.6</v>
      </c>
      <c r="DA35" s="3">
        <f t="shared" si="34"/>
        <v>165.6</v>
      </c>
    </row>
    <row r="36" spans="1:105" s="31" customFormat="1" ht="16.5" customHeight="1" x14ac:dyDescent="0.3">
      <c r="A36" s="29">
        <v>32</v>
      </c>
      <c r="B36" s="30" t="s">
        <v>32</v>
      </c>
      <c r="D36" s="3">
        <v>259466</v>
      </c>
      <c r="E36" s="3">
        <v>415575</v>
      </c>
      <c r="F36" s="3">
        <f t="shared" si="42"/>
        <v>156109</v>
      </c>
      <c r="G36" s="32">
        <f t="shared" si="1"/>
        <v>1.6016549374484519</v>
      </c>
      <c r="I36" s="3">
        <v>302779</v>
      </c>
      <c r="J36" s="221"/>
      <c r="K36" s="33">
        <v>109539</v>
      </c>
      <c r="L36" s="222">
        <v>565077</v>
      </c>
      <c r="M36" s="3">
        <f t="shared" si="43"/>
        <v>455538</v>
      </c>
      <c r="N36" s="32">
        <f t="shared" si="2"/>
        <v>5.1586832087201815</v>
      </c>
      <c r="P36" s="3">
        <f>124876</f>
        <v>124876</v>
      </c>
      <c r="R36" s="3">
        <v>416483</v>
      </c>
      <c r="S36" s="223">
        <v>972994</v>
      </c>
      <c r="T36" s="3">
        <f t="shared" si="44"/>
        <v>556511</v>
      </c>
      <c r="U36" s="32">
        <f t="shared" si="4"/>
        <v>2.3362154037499732</v>
      </c>
      <c r="W36" s="3">
        <v>489404</v>
      </c>
      <c r="Y36" s="3">
        <v>279744</v>
      </c>
      <c r="Z36" s="223">
        <v>249060</v>
      </c>
      <c r="AA36" s="3">
        <f t="shared" si="45"/>
        <v>-30684</v>
      </c>
      <c r="AB36" s="32">
        <f t="shared" si="40"/>
        <v>0.89031400137268357</v>
      </c>
      <c r="AD36" s="3">
        <f>442289-113880</f>
        <v>328409</v>
      </c>
      <c r="AF36" s="3">
        <v>274271</v>
      </c>
      <c r="AG36" s="3">
        <v>273866</v>
      </c>
      <c r="AH36" s="3">
        <f t="shared" si="46"/>
        <v>-405</v>
      </c>
      <c r="AI36" s="32">
        <f t="shared" si="8"/>
        <v>0.99852335828432459</v>
      </c>
      <c r="AK36" s="3">
        <f>433520-110904</f>
        <v>322616</v>
      </c>
      <c r="AM36" s="3">
        <v>306595</v>
      </c>
      <c r="AN36" s="222">
        <v>199016</v>
      </c>
      <c r="AO36" s="3">
        <f t="shared" si="47"/>
        <v>-107579</v>
      </c>
      <c r="AP36" s="32">
        <f t="shared" si="10"/>
        <v>0.64911691319166975</v>
      </c>
      <c r="AR36" s="3">
        <v>360166</v>
      </c>
      <c r="AT36" s="3">
        <v>323820</v>
      </c>
      <c r="AU36" s="3">
        <v>429818</v>
      </c>
      <c r="AV36" s="3">
        <f t="shared" si="48"/>
        <v>105998</v>
      </c>
      <c r="AW36" s="32">
        <f t="shared" si="12"/>
        <v>1.3273361744178864</v>
      </c>
      <c r="AY36" s="3">
        <f>380982-500</f>
        <v>380482</v>
      </c>
      <c r="BA36" s="3">
        <v>144724</v>
      </c>
      <c r="BB36" s="222">
        <v>406642</v>
      </c>
      <c r="BC36" s="222">
        <f t="shared" si="49"/>
        <v>261918</v>
      </c>
      <c r="BD36" s="32">
        <f t="shared" si="14"/>
        <v>2.8097758492026204</v>
      </c>
      <c r="BF36" s="3">
        <v>164661</v>
      </c>
      <c r="BH36" s="3">
        <v>377167</v>
      </c>
      <c r="BI36" s="222">
        <v>332436</v>
      </c>
      <c r="BJ36" s="222">
        <f t="shared" si="50"/>
        <v>-44731</v>
      </c>
      <c r="BK36" s="32">
        <f t="shared" si="16"/>
        <v>0.88140266778376686</v>
      </c>
      <c r="BM36" s="3">
        <v>326730</v>
      </c>
      <c r="BO36" s="3">
        <v>384940</v>
      </c>
      <c r="BP36" s="3">
        <v>707117</v>
      </c>
      <c r="BQ36" s="3">
        <f t="shared" si="51"/>
        <v>322177</v>
      </c>
      <c r="BR36" s="32">
        <f t="shared" si="18"/>
        <v>1.8369538109835299</v>
      </c>
      <c r="BT36" s="3">
        <f>541072</f>
        <v>541072</v>
      </c>
      <c r="BV36" s="3">
        <v>203520</v>
      </c>
      <c r="BW36" s="34">
        <v>597410</v>
      </c>
      <c r="BX36" s="3">
        <f t="shared" si="52"/>
        <v>393890</v>
      </c>
      <c r="BY36" s="32">
        <f t="shared" si="20"/>
        <v>2.9353871855345912</v>
      </c>
      <c r="CA36" s="3">
        <f>46253</f>
        <v>46253</v>
      </c>
      <c r="CC36" s="3">
        <v>303660</v>
      </c>
      <c r="CD36" s="3">
        <v>716133</v>
      </c>
      <c r="CE36" s="3">
        <f t="shared" si="53"/>
        <v>412473</v>
      </c>
      <c r="CF36" s="32">
        <f t="shared" si="22"/>
        <v>2.3583382730685636</v>
      </c>
      <c r="CH36" s="3">
        <v>447492</v>
      </c>
      <c r="CJ36" s="225">
        <f t="shared" si="23"/>
        <v>3383929</v>
      </c>
      <c r="CK36" s="3">
        <f t="shared" si="23"/>
        <v>5865144</v>
      </c>
      <c r="CL36" s="3">
        <f t="shared" si="41"/>
        <v>2068742</v>
      </c>
      <c r="CM36" s="32">
        <f t="shared" si="25"/>
        <v>1.7332349467143076</v>
      </c>
      <c r="CO36" s="3">
        <f t="shared" si="26"/>
        <v>3247615</v>
      </c>
      <c r="CQ36" s="3">
        <v>3383929</v>
      </c>
      <c r="CR36" s="3">
        <f t="shared" si="54"/>
        <v>5865144</v>
      </c>
      <c r="CS36" s="3">
        <f t="shared" si="55"/>
        <v>2481215</v>
      </c>
      <c r="CT36" s="32">
        <f t="shared" si="29"/>
        <v>1.7332349467143076</v>
      </c>
      <c r="CV36" s="3">
        <f t="shared" si="56"/>
        <v>3834940</v>
      </c>
      <c r="CX36" s="3">
        <f t="shared" si="31"/>
        <v>892120</v>
      </c>
      <c r="CY36" s="3">
        <f t="shared" si="32"/>
        <v>892120</v>
      </c>
      <c r="CZ36" s="3">
        <f t="shared" si="33"/>
        <v>1025937.9999999999</v>
      </c>
      <c r="DA36" s="3">
        <f t="shared" si="34"/>
        <v>6891082</v>
      </c>
    </row>
    <row r="37" spans="1:105" s="31" customFormat="1" ht="16.5" customHeight="1" x14ac:dyDescent="0.3">
      <c r="A37" s="29">
        <v>33</v>
      </c>
      <c r="B37" s="30" t="s">
        <v>98</v>
      </c>
      <c r="D37" s="3">
        <v>0</v>
      </c>
      <c r="E37" s="3">
        <v>0</v>
      </c>
      <c r="F37" s="3">
        <f t="shared" si="42"/>
        <v>0</v>
      </c>
      <c r="G37" s="32">
        <f t="shared" si="1"/>
        <v>0</v>
      </c>
      <c r="I37" s="3">
        <v>0</v>
      </c>
      <c r="J37" s="221"/>
      <c r="K37" s="253">
        <v>0</v>
      </c>
      <c r="L37" s="222">
        <v>0</v>
      </c>
      <c r="M37" s="3">
        <f t="shared" si="43"/>
        <v>0</v>
      </c>
      <c r="N37" s="32">
        <f t="shared" si="2"/>
        <v>0</v>
      </c>
      <c r="P37" s="3">
        <v>0</v>
      </c>
      <c r="R37" s="254">
        <v>0</v>
      </c>
      <c r="S37" s="223"/>
      <c r="T37" s="3">
        <f t="shared" si="44"/>
        <v>0</v>
      </c>
      <c r="U37" s="32">
        <f t="shared" si="4"/>
        <v>0</v>
      </c>
      <c r="W37" s="3"/>
      <c r="Y37" s="3">
        <v>0</v>
      </c>
      <c r="Z37" s="223">
        <v>0</v>
      </c>
      <c r="AA37" s="3">
        <f t="shared" si="45"/>
        <v>0</v>
      </c>
      <c r="AB37" s="32">
        <f t="shared" si="40"/>
        <v>0</v>
      </c>
      <c r="AD37" s="3"/>
      <c r="AF37" s="3">
        <v>0</v>
      </c>
      <c r="AG37" s="3">
        <v>0</v>
      </c>
      <c r="AH37" s="3">
        <f t="shared" si="46"/>
        <v>0</v>
      </c>
      <c r="AI37" s="32">
        <f t="shared" si="8"/>
        <v>0</v>
      </c>
      <c r="AK37" s="3"/>
      <c r="AM37" s="3">
        <v>0</v>
      </c>
      <c r="AN37" s="222">
        <v>0</v>
      </c>
      <c r="AO37" s="3">
        <f t="shared" si="47"/>
        <v>0</v>
      </c>
      <c r="AP37" s="32">
        <f t="shared" si="10"/>
        <v>0</v>
      </c>
      <c r="AR37" s="3">
        <v>0</v>
      </c>
      <c r="AT37" s="254">
        <v>0</v>
      </c>
      <c r="AU37" s="254">
        <v>0</v>
      </c>
      <c r="AV37" s="3">
        <f t="shared" si="48"/>
        <v>0</v>
      </c>
      <c r="AW37" s="32">
        <f t="shared" si="12"/>
        <v>0</v>
      </c>
      <c r="AY37" s="3">
        <v>0</v>
      </c>
      <c r="BA37" s="254">
        <v>0</v>
      </c>
      <c r="BB37" s="222">
        <v>0</v>
      </c>
      <c r="BC37" s="222">
        <f t="shared" si="49"/>
        <v>0</v>
      </c>
      <c r="BD37" s="32">
        <f t="shared" si="14"/>
        <v>0</v>
      </c>
      <c r="BF37" s="3">
        <v>0</v>
      </c>
      <c r="BH37" s="254">
        <v>0</v>
      </c>
      <c r="BI37" s="222">
        <v>0</v>
      </c>
      <c r="BJ37" s="222">
        <f t="shared" si="50"/>
        <v>0</v>
      </c>
      <c r="BK37" s="32">
        <f t="shared" si="16"/>
        <v>0</v>
      </c>
      <c r="BM37" s="3"/>
      <c r="BO37" s="254">
        <v>0</v>
      </c>
      <c r="BP37" s="3">
        <v>0</v>
      </c>
      <c r="BQ37" s="3">
        <f t="shared" si="51"/>
        <v>0</v>
      </c>
      <c r="BR37" s="32">
        <f t="shared" si="18"/>
        <v>0</v>
      </c>
      <c r="BT37" s="3"/>
      <c r="BV37" s="254">
        <v>0</v>
      </c>
      <c r="BW37" s="34">
        <v>0</v>
      </c>
      <c r="BX37" s="3">
        <f t="shared" si="52"/>
        <v>0</v>
      </c>
      <c r="BY37" s="32">
        <f t="shared" si="20"/>
        <v>0</v>
      </c>
      <c r="CA37" s="3"/>
      <c r="CC37" s="3">
        <v>0</v>
      </c>
      <c r="CD37" s="3">
        <v>0</v>
      </c>
      <c r="CE37" s="3">
        <f t="shared" si="53"/>
        <v>0</v>
      </c>
      <c r="CF37" s="32">
        <f t="shared" si="22"/>
        <v>0</v>
      </c>
      <c r="CH37" s="3"/>
      <c r="CJ37" s="225">
        <f t="shared" si="23"/>
        <v>0</v>
      </c>
      <c r="CK37" s="3">
        <f t="shared" si="23"/>
        <v>0</v>
      </c>
      <c r="CL37" s="3">
        <f t="shared" si="41"/>
        <v>0</v>
      </c>
      <c r="CM37" s="32">
        <f t="shared" si="25"/>
        <v>0</v>
      </c>
      <c r="CO37" s="3">
        <f t="shared" si="26"/>
        <v>0</v>
      </c>
      <c r="CQ37" s="3">
        <v>0</v>
      </c>
      <c r="CR37" s="3">
        <f t="shared" si="54"/>
        <v>0</v>
      </c>
      <c r="CS37" s="3">
        <f t="shared" si="55"/>
        <v>0</v>
      </c>
      <c r="CT37" s="32">
        <f t="shared" si="29"/>
        <v>0</v>
      </c>
      <c r="CV37" s="3">
        <f t="shared" si="56"/>
        <v>0</v>
      </c>
      <c r="CX37" s="3">
        <f t="shared" si="31"/>
        <v>0</v>
      </c>
      <c r="CY37" s="3">
        <f t="shared" si="32"/>
        <v>0</v>
      </c>
      <c r="CZ37" s="3">
        <f t="shared" si="33"/>
        <v>0</v>
      </c>
      <c r="DA37" s="3">
        <f t="shared" si="34"/>
        <v>0</v>
      </c>
    </row>
    <row r="38" spans="1:105" s="31" customFormat="1" ht="16.5" customHeight="1" x14ac:dyDescent="0.3">
      <c r="A38" s="29">
        <v>34</v>
      </c>
      <c r="B38" s="30" t="s">
        <v>34</v>
      </c>
      <c r="D38" s="3">
        <v>978669</v>
      </c>
      <c r="E38" s="3">
        <v>1781144.09</v>
      </c>
      <c r="F38" s="3">
        <f t="shared" si="42"/>
        <v>802475.09000000008</v>
      </c>
      <c r="G38" s="32">
        <f t="shared" si="1"/>
        <v>1.8199657800543392</v>
      </c>
      <c r="I38" s="3">
        <v>1130547.19</v>
      </c>
      <c r="J38" s="221"/>
      <c r="K38" s="33">
        <v>1746815</v>
      </c>
      <c r="L38" s="222">
        <v>1616067.36</v>
      </c>
      <c r="M38" s="3">
        <f t="shared" si="43"/>
        <v>-130747.6399999999</v>
      </c>
      <c r="N38" s="32">
        <f t="shared" si="2"/>
        <v>0.92515083738117665</v>
      </c>
      <c r="P38" s="3">
        <f>2263682.61-127385.5</f>
        <v>2136297.11</v>
      </c>
      <c r="R38" s="9">
        <v>1114921</v>
      </c>
      <c r="S38" s="223">
        <v>1282840.46</v>
      </c>
      <c r="T38" s="3">
        <f t="shared" si="44"/>
        <v>167919.45999999996</v>
      </c>
      <c r="U38" s="32">
        <f t="shared" si="4"/>
        <v>1.1506110836552546</v>
      </c>
      <c r="W38" s="3">
        <f>1409068.01-127829.75</f>
        <v>1281238.26</v>
      </c>
      <c r="Y38" s="3">
        <v>770386</v>
      </c>
      <c r="Z38" s="223">
        <v>2072686.35</v>
      </c>
      <c r="AA38" s="3">
        <f t="shared" si="45"/>
        <v>1302300.3500000001</v>
      </c>
      <c r="AB38" s="32">
        <f t="shared" si="40"/>
        <v>2.6904517345850003</v>
      </c>
      <c r="AD38" s="3">
        <f>993910.22-137521.99</f>
        <v>856388.23</v>
      </c>
      <c r="AF38" s="3">
        <v>788610</v>
      </c>
      <c r="AG38" s="3">
        <v>1208669.53</v>
      </c>
      <c r="AH38" s="3">
        <f t="shared" si="46"/>
        <v>420059.53</v>
      </c>
      <c r="AI38" s="32">
        <f t="shared" si="8"/>
        <v>1.5326581326638009</v>
      </c>
      <c r="AK38" s="3">
        <f>1008447.22-154578</f>
        <v>853869.22</v>
      </c>
      <c r="AM38" s="3">
        <v>723763</v>
      </c>
      <c r="AN38" s="222">
        <v>1247838.6399999999</v>
      </c>
      <c r="AO38" s="3">
        <f t="shared" si="47"/>
        <v>524075.6399999999</v>
      </c>
      <c r="AP38" s="32">
        <f t="shared" si="10"/>
        <v>1.7240984134309159</v>
      </c>
      <c r="AR38" s="3">
        <f>934630.23-129565</f>
        <v>805065.23</v>
      </c>
      <c r="AT38" s="3">
        <v>770902</v>
      </c>
      <c r="AU38" s="3">
        <v>801130.26</v>
      </c>
      <c r="AV38" s="3">
        <f t="shared" si="48"/>
        <v>30228.260000000009</v>
      </c>
      <c r="AW38" s="32">
        <f t="shared" si="12"/>
        <v>1.039211546993003</v>
      </c>
      <c r="AY38" s="3">
        <f>1004123.92-145905.5</f>
        <v>858218.42</v>
      </c>
      <c r="BA38" s="3">
        <v>1293723</v>
      </c>
      <c r="BB38" s="222">
        <v>573133.77</v>
      </c>
      <c r="BC38" s="222">
        <f t="shared" si="49"/>
        <v>-720589.23</v>
      </c>
      <c r="BD38" s="32">
        <f t="shared" si="14"/>
        <v>0.44301119327707711</v>
      </c>
      <c r="BF38" s="3">
        <f>1634214.3-176857.79</f>
        <v>1457356.51</v>
      </c>
      <c r="BH38" s="3">
        <v>856851</v>
      </c>
      <c r="BI38" s="222">
        <v>926230</v>
      </c>
      <c r="BJ38" s="222">
        <f t="shared" si="50"/>
        <v>69379</v>
      </c>
      <c r="BK38" s="32">
        <f t="shared" si="16"/>
        <v>1.0809697368620681</v>
      </c>
      <c r="BM38" s="3">
        <f>968922.05-136124.5</f>
        <v>832797.55</v>
      </c>
      <c r="BO38" s="3">
        <v>857467</v>
      </c>
      <c r="BP38" s="3">
        <v>897858</v>
      </c>
      <c r="BQ38" s="3">
        <f t="shared" si="51"/>
        <v>40391</v>
      </c>
      <c r="BR38" s="32">
        <f t="shared" si="18"/>
        <v>1.047105019785018</v>
      </c>
      <c r="BT38" s="3">
        <f>1623159.1-128932.5</f>
        <v>1494226.6</v>
      </c>
      <c r="BV38" s="3">
        <v>598751</v>
      </c>
      <c r="BW38" s="34">
        <v>843053.36</v>
      </c>
      <c r="BX38" s="3">
        <f t="shared" si="52"/>
        <v>244302.36</v>
      </c>
      <c r="BY38" s="32">
        <f t="shared" si="20"/>
        <v>1.4080199615533</v>
      </c>
      <c r="CA38" s="3">
        <f>1030766.3-106221.5</f>
        <v>924544.8</v>
      </c>
      <c r="CC38" s="3">
        <v>414772</v>
      </c>
      <c r="CD38" s="3">
        <v>294150.3</v>
      </c>
      <c r="CE38" s="3">
        <f t="shared" si="53"/>
        <v>-120621.70000000001</v>
      </c>
      <c r="CF38" s="32">
        <f t="shared" si="22"/>
        <v>0.70918552843489913</v>
      </c>
      <c r="CH38" s="3">
        <f>490683.09-49267.5</f>
        <v>441415.59</v>
      </c>
      <c r="CJ38" s="225">
        <f t="shared" si="23"/>
        <v>10915630</v>
      </c>
      <c r="CK38" s="3">
        <f t="shared" si="23"/>
        <v>13544802.119999999</v>
      </c>
      <c r="CL38" s="3">
        <f t="shared" si="41"/>
        <v>2749793.8199999994</v>
      </c>
      <c r="CM38" s="32">
        <f t="shared" si="25"/>
        <v>1.240863066996591</v>
      </c>
      <c r="CO38" s="3">
        <f t="shared" si="26"/>
        <v>10653193.309999999</v>
      </c>
      <c r="CQ38" s="3">
        <v>10915630</v>
      </c>
      <c r="CR38" s="3">
        <f t="shared" si="54"/>
        <v>13544802.119999999</v>
      </c>
      <c r="CS38" s="3">
        <f t="shared" si="55"/>
        <v>2629172.1199999992</v>
      </c>
      <c r="CT38" s="32">
        <f t="shared" si="29"/>
        <v>1.240863066996591</v>
      </c>
      <c r="CV38" s="3">
        <f t="shared" si="56"/>
        <v>13071964.709999999</v>
      </c>
      <c r="CX38" s="3">
        <f t="shared" si="31"/>
        <v>1870990</v>
      </c>
      <c r="CY38" s="3">
        <f t="shared" si="32"/>
        <v>1870990</v>
      </c>
      <c r="CZ38" s="3">
        <f t="shared" si="33"/>
        <v>2151638.5</v>
      </c>
      <c r="DA38" s="3">
        <f t="shared" si="34"/>
        <v>15696440.619999999</v>
      </c>
    </row>
    <row r="39" spans="1:105" s="26" customFormat="1" ht="16.5" customHeight="1" x14ac:dyDescent="0.3">
      <c r="A39" s="35"/>
      <c r="B39" s="36" t="s">
        <v>35</v>
      </c>
      <c r="D39" s="5">
        <f>+D40</f>
        <v>21439</v>
      </c>
      <c r="E39" s="5">
        <f>+E40</f>
        <v>3488.57</v>
      </c>
      <c r="F39" s="249">
        <f>+F40</f>
        <v>-17950.43</v>
      </c>
      <c r="G39" s="37">
        <f t="shared" si="1"/>
        <v>0.16272074257194832</v>
      </c>
      <c r="I39" s="5">
        <f>+I40</f>
        <v>16109</v>
      </c>
      <c r="J39" s="218"/>
      <c r="K39" s="5">
        <f>+K40</f>
        <v>12059</v>
      </c>
      <c r="L39" s="227">
        <f>+L40</f>
        <v>9442.7999999999993</v>
      </c>
      <c r="M39" s="249">
        <f>+M40</f>
        <v>-2616.2000000000007</v>
      </c>
      <c r="N39" s="37">
        <f t="shared" si="2"/>
        <v>0.78305000414628068</v>
      </c>
      <c r="P39" s="5">
        <f>+P40</f>
        <v>8702.66</v>
      </c>
      <c r="R39" s="5">
        <f>+R40</f>
        <v>16153</v>
      </c>
      <c r="S39" s="227">
        <f>+S40</f>
        <v>2396.71</v>
      </c>
      <c r="T39" s="249">
        <f>+T40</f>
        <v>-13756.29</v>
      </c>
      <c r="U39" s="37">
        <f t="shared" si="4"/>
        <v>0.14837553395654057</v>
      </c>
      <c r="W39" s="5">
        <f>+W40</f>
        <v>11963.89</v>
      </c>
      <c r="Y39" s="5">
        <f>+Y40</f>
        <v>86916</v>
      </c>
      <c r="Z39" s="227">
        <f>+Z40</f>
        <v>55114.02</v>
      </c>
      <c r="AA39" s="249">
        <f>+AA40</f>
        <v>-31801.980000000003</v>
      </c>
      <c r="AB39" s="37">
        <f t="shared" si="40"/>
        <v>0.63410672373325971</v>
      </c>
      <c r="AD39" s="5">
        <f>+AD40</f>
        <v>64375.47</v>
      </c>
      <c r="AF39" s="5">
        <f>+AF40</f>
        <v>21848</v>
      </c>
      <c r="AG39" s="5">
        <f>+AG40</f>
        <v>2836.22</v>
      </c>
      <c r="AH39" s="249">
        <f>+AH40</f>
        <v>-19011.78</v>
      </c>
      <c r="AI39" s="37">
        <f t="shared" si="8"/>
        <v>0.12981600146466496</v>
      </c>
      <c r="AK39" s="5">
        <f>+AK40</f>
        <v>16182.55</v>
      </c>
      <c r="AM39" s="5">
        <f>+AM40</f>
        <v>132930</v>
      </c>
      <c r="AN39" s="227">
        <f>+AN40</f>
        <v>52301.69</v>
      </c>
      <c r="AO39" s="249">
        <f>+AO40</f>
        <v>-80628.31</v>
      </c>
      <c r="AP39" s="37">
        <f t="shared" si="10"/>
        <v>0.39345286993154294</v>
      </c>
      <c r="AR39" s="5">
        <f>+AR40</f>
        <v>98455.84</v>
      </c>
      <c r="AT39" s="5">
        <f>+AT40</f>
        <v>10374</v>
      </c>
      <c r="AU39" s="5">
        <f>+AU40</f>
        <v>28702.52</v>
      </c>
      <c r="AV39" s="5">
        <f>+AV40</f>
        <v>18328.52</v>
      </c>
      <c r="AW39" s="37">
        <f t="shared" si="12"/>
        <v>2.766774628879892</v>
      </c>
      <c r="AY39" s="5">
        <f>+AY40</f>
        <v>7683.94</v>
      </c>
      <c r="BA39" s="5">
        <f>+BA40</f>
        <v>7020</v>
      </c>
      <c r="BB39" s="227">
        <f>+BB40</f>
        <v>19455</v>
      </c>
      <c r="BC39" s="227">
        <f>+BC40</f>
        <v>12435</v>
      </c>
      <c r="BD39" s="37">
        <f t="shared" si="14"/>
        <v>2.7713675213675213</v>
      </c>
      <c r="BF39" s="5">
        <f>+BF40</f>
        <v>5199.66</v>
      </c>
      <c r="BH39" s="5">
        <f>+BH40</f>
        <v>56342</v>
      </c>
      <c r="BI39" s="227">
        <f>+BI40</f>
        <v>11613</v>
      </c>
      <c r="BJ39" s="227">
        <f>+BJ40</f>
        <v>-44729</v>
      </c>
      <c r="BK39" s="37">
        <f t="shared" si="16"/>
        <v>0.20611621880657413</v>
      </c>
      <c r="BM39" s="5">
        <f>+BM40</f>
        <v>28271.649999999998</v>
      </c>
      <c r="BO39" s="5">
        <f>+BO40</f>
        <v>14162</v>
      </c>
      <c r="BP39" s="5">
        <f>+BP40</f>
        <v>20569</v>
      </c>
      <c r="BQ39" s="5">
        <f>+BQ40</f>
        <v>6407</v>
      </c>
      <c r="BR39" s="37">
        <f t="shared" si="18"/>
        <v>1.4524078519983052</v>
      </c>
      <c r="BT39" s="5">
        <f>+BT40</f>
        <v>3614.15</v>
      </c>
      <c r="BV39" s="5">
        <f>+BV40</f>
        <v>39871</v>
      </c>
      <c r="BW39" s="5">
        <f>+BW40</f>
        <v>9745</v>
      </c>
      <c r="BX39" s="5">
        <f>+BX40</f>
        <v>-30126</v>
      </c>
      <c r="BY39" s="37">
        <f t="shared" si="20"/>
        <v>0.24441323267537809</v>
      </c>
      <c r="CA39" s="5">
        <f>+CA40</f>
        <v>1963.46</v>
      </c>
      <c r="CC39" s="5">
        <f>+CC40</f>
        <v>8867</v>
      </c>
      <c r="CD39" s="5">
        <f>CD40</f>
        <v>132363.34</v>
      </c>
      <c r="CE39" s="5">
        <f>+CE40</f>
        <v>123496.34</v>
      </c>
      <c r="CF39" s="37">
        <f t="shared" si="22"/>
        <v>14.92763505131386</v>
      </c>
      <c r="CH39" s="5">
        <f>+CH40</f>
        <v>12842.55</v>
      </c>
      <c r="CJ39" s="228">
        <f t="shared" si="23"/>
        <v>427981</v>
      </c>
      <c r="CK39" s="5">
        <f t="shared" si="23"/>
        <v>348027.87</v>
      </c>
      <c r="CL39" s="249">
        <f t="shared" si="41"/>
        <v>-203449.47</v>
      </c>
      <c r="CM39" s="37">
        <f t="shared" si="25"/>
        <v>0.81318532832064971</v>
      </c>
      <c r="CO39" s="5">
        <f t="shared" si="26"/>
        <v>269787.21000000002</v>
      </c>
      <c r="CQ39" s="5">
        <f>+CQ40</f>
        <v>427981</v>
      </c>
      <c r="CR39" s="5">
        <f>+CR40</f>
        <v>348027.87</v>
      </c>
      <c r="CS39" s="5">
        <f>+CS40</f>
        <v>-79953.13</v>
      </c>
      <c r="CT39" s="37">
        <f t="shared" si="29"/>
        <v>0.81318532832064971</v>
      </c>
      <c r="CV39" s="5">
        <f>+CV40</f>
        <v>275364.82</v>
      </c>
      <c r="CX39" s="5">
        <f t="shared" si="31"/>
        <v>62900</v>
      </c>
      <c r="CY39" s="5">
        <f t="shared" si="32"/>
        <v>62900</v>
      </c>
      <c r="CZ39" s="5">
        <f t="shared" si="33"/>
        <v>72335</v>
      </c>
      <c r="DA39" s="5">
        <f t="shared" si="34"/>
        <v>420362.87</v>
      </c>
    </row>
    <row r="40" spans="1:105" s="31" customFormat="1" ht="16.5" customHeight="1" x14ac:dyDescent="0.3">
      <c r="A40" s="29">
        <v>35</v>
      </c>
      <c r="B40" s="30" t="s">
        <v>36</v>
      </c>
      <c r="D40" s="3">
        <v>21439</v>
      </c>
      <c r="E40" s="3">
        <v>3488.57</v>
      </c>
      <c r="F40" s="3">
        <f>E40-D40</f>
        <v>-17950.43</v>
      </c>
      <c r="G40" s="32">
        <f t="shared" si="1"/>
        <v>0.16272074257194832</v>
      </c>
      <c r="I40" s="3">
        <v>16109</v>
      </c>
      <c r="J40" s="221"/>
      <c r="K40" s="33">
        <v>12059</v>
      </c>
      <c r="L40" s="222">
        <v>9442.7999999999993</v>
      </c>
      <c r="M40" s="3">
        <f>L40-K40</f>
        <v>-2616.2000000000007</v>
      </c>
      <c r="N40" s="32">
        <f t="shared" si="2"/>
        <v>0.78305000414628068</v>
      </c>
      <c r="P40" s="3">
        <f>8932.17-229.51</f>
        <v>8702.66</v>
      </c>
      <c r="R40" s="3">
        <v>16153</v>
      </c>
      <c r="S40" s="223">
        <v>2396.71</v>
      </c>
      <c r="T40" s="3">
        <f>S40-R40</f>
        <v>-13756.29</v>
      </c>
      <c r="U40" s="32">
        <f t="shared" si="4"/>
        <v>0.14837553395654057</v>
      </c>
      <c r="W40" s="3">
        <v>11963.89</v>
      </c>
      <c r="Y40" s="3">
        <v>86916</v>
      </c>
      <c r="Z40" s="223">
        <v>55114.02</v>
      </c>
      <c r="AA40" s="3">
        <f>Z40-Y40</f>
        <v>-31801.980000000003</v>
      </c>
      <c r="AB40" s="32">
        <f t="shared" si="40"/>
        <v>0.63410672373325971</v>
      </c>
      <c r="AD40" s="3">
        <v>64375.47</v>
      </c>
      <c r="AF40" s="3">
        <v>21848</v>
      </c>
      <c r="AG40" s="3">
        <v>2836.22</v>
      </c>
      <c r="AH40" s="3">
        <f>AG40-AF40</f>
        <v>-19011.78</v>
      </c>
      <c r="AI40" s="32">
        <f t="shared" si="8"/>
        <v>0.12981600146466496</v>
      </c>
      <c r="AK40" s="3">
        <v>16182.55</v>
      </c>
      <c r="AM40" s="3">
        <v>132930</v>
      </c>
      <c r="AN40" s="222">
        <v>52301.69</v>
      </c>
      <c r="AO40" s="3">
        <f>AN40-AM40</f>
        <v>-80628.31</v>
      </c>
      <c r="AP40" s="32">
        <f t="shared" si="10"/>
        <v>0.39345286993154294</v>
      </c>
      <c r="AR40" s="3">
        <v>98455.84</v>
      </c>
      <c r="AT40" s="9">
        <v>10374</v>
      </c>
      <c r="AU40" s="9">
        <v>28702.52</v>
      </c>
      <c r="AV40" s="3">
        <f>AU40-AT40</f>
        <v>18328.52</v>
      </c>
      <c r="AW40" s="32">
        <f t="shared" si="12"/>
        <v>2.766774628879892</v>
      </c>
      <c r="AY40" s="9">
        <v>7683.94</v>
      </c>
      <c r="BA40" s="3">
        <v>7020</v>
      </c>
      <c r="BB40" s="222">
        <v>19455</v>
      </c>
      <c r="BC40" s="222">
        <f>BB40-BA40</f>
        <v>12435</v>
      </c>
      <c r="BD40" s="32">
        <f t="shared" si="14"/>
        <v>2.7713675213675213</v>
      </c>
      <c r="BF40" s="3">
        <v>5199.66</v>
      </c>
      <c r="BH40" s="3">
        <v>56342</v>
      </c>
      <c r="BI40" s="222">
        <v>11613</v>
      </c>
      <c r="BJ40" s="222">
        <f>BI40-BH40</f>
        <v>-44729</v>
      </c>
      <c r="BK40" s="32">
        <f t="shared" si="16"/>
        <v>0.20611621880657413</v>
      </c>
      <c r="BM40" s="3">
        <f>47724.09-19452.44</f>
        <v>28271.649999999998</v>
      </c>
      <c r="BO40" s="3">
        <v>14162</v>
      </c>
      <c r="BP40" s="3">
        <v>20569</v>
      </c>
      <c r="BQ40" s="3">
        <f>BP40-BO40</f>
        <v>6407</v>
      </c>
      <c r="BR40" s="32">
        <f t="shared" si="18"/>
        <v>1.4524078519983052</v>
      </c>
      <c r="BT40" s="3">
        <f>3614.15</f>
        <v>3614.15</v>
      </c>
      <c r="BV40" s="3">
        <v>39871</v>
      </c>
      <c r="BW40" s="34">
        <v>9745</v>
      </c>
      <c r="BX40" s="3">
        <f>BW40-BV40</f>
        <v>-30126</v>
      </c>
      <c r="BY40" s="32">
        <f t="shared" si="20"/>
        <v>0.24441323267537809</v>
      </c>
      <c r="CA40" s="3">
        <f>2168.08-204.62</f>
        <v>1963.46</v>
      </c>
      <c r="CC40" s="3">
        <v>8867</v>
      </c>
      <c r="CD40" s="3">
        <v>132363.34</v>
      </c>
      <c r="CE40" s="3">
        <f>CD40-CC40</f>
        <v>123496.34</v>
      </c>
      <c r="CF40" s="32">
        <f t="shared" si="22"/>
        <v>14.92763505131386</v>
      </c>
      <c r="CH40" s="3">
        <v>12842.55</v>
      </c>
      <c r="CJ40" s="225">
        <f t="shared" si="23"/>
        <v>427981</v>
      </c>
      <c r="CK40" s="3">
        <f t="shared" si="23"/>
        <v>348027.87</v>
      </c>
      <c r="CL40" s="3">
        <f t="shared" si="41"/>
        <v>-203449.47</v>
      </c>
      <c r="CM40" s="32">
        <f t="shared" si="25"/>
        <v>0.81318532832064971</v>
      </c>
      <c r="CO40" s="3">
        <f t="shared" si="26"/>
        <v>269787.21000000002</v>
      </c>
      <c r="CQ40" s="3">
        <v>427981</v>
      </c>
      <c r="CR40" s="3">
        <f>+E40+L40+S40+Z40+AG40+AN40+AU40+BB40+BI40+BP40+BW40+CD40</f>
        <v>348027.87</v>
      </c>
      <c r="CS40" s="3">
        <f>CR40-CQ40</f>
        <v>-79953.13</v>
      </c>
      <c r="CT40" s="32">
        <f t="shared" si="29"/>
        <v>0.81318532832064971</v>
      </c>
      <c r="CV40" s="3">
        <f>+I40+P40+W40+AD40+AK40+AR40+AY40+BF40+BM40+BT40+CA40+CH40</f>
        <v>275364.82</v>
      </c>
      <c r="CX40" s="3">
        <f t="shared" si="31"/>
        <v>62900</v>
      </c>
      <c r="CY40" s="3">
        <f t="shared" si="32"/>
        <v>62900</v>
      </c>
      <c r="CZ40" s="3">
        <f t="shared" si="33"/>
        <v>72335</v>
      </c>
      <c r="DA40" s="3">
        <f t="shared" si="34"/>
        <v>420362.87</v>
      </c>
    </row>
    <row r="41" spans="1:105" s="26" customFormat="1" ht="16.5" customHeight="1" x14ac:dyDescent="0.3">
      <c r="A41" s="35"/>
      <c r="B41" s="36" t="s">
        <v>37</v>
      </c>
      <c r="D41" s="5">
        <f>D42</f>
        <v>5424</v>
      </c>
      <c r="E41" s="5">
        <f>E42</f>
        <v>7550</v>
      </c>
      <c r="F41" s="3">
        <f>E41-D41</f>
        <v>2126</v>
      </c>
      <c r="G41" s="37">
        <f t="shared" si="1"/>
        <v>1.3919616519174041</v>
      </c>
      <c r="I41" s="5">
        <f>I42</f>
        <v>5328</v>
      </c>
      <c r="J41" s="218"/>
      <c r="K41" s="42">
        <f>K42</f>
        <v>6299</v>
      </c>
      <c r="L41" s="227">
        <f>L42</f>
        <v>2869</v>
      </c>
      <c r="M41" s="5">
        <f>L41-K41</f>
        <v>-3430</v>
      </c>
      <c r="N41" s="37">
        <f t="shared" si="2"/>
        <v>0.45546912208287027</v>
      </c>
      <c r="P41" s="5">
        <f>P42</f>
        <v>6192</v>
      </c>
      <c r="R41" s="5">
        <f>R42</f>
        <v>3673</v>
      </c>
      <c r="S41" s="227">
        <f>S42</f>
        <v>8003</v>
      </c>
      <c r="T41" s="5">
        <f>S41-R41</f>
        <v>4330</v>
      </c>
      <c r="U41" s="37">
        <f t="shared" si="4"/>
        <v>2.1788728559760413</v>
      </c>
      <c r="W41" s="5">
        <f>W42</f>
        <v>3600</v>
      </c>
      <c r="Y41" s="5">
        <f>Y42</f>
        <v>8049</v>
      </c>
      <c r="Z41" s="227">
        <f>Z42</f>
        <v>7248</v>
      </c>
      <c r="AA41" s="5">
        <f>Z41-Y41</f>
        <v>-801</v>
      </c>
      <c r="AB41" s="37">
        <f t="shared" si="40"/>
        <v>0.90048453224002978</v>
      </c>
      <c r="AD41" s="5">
        <f>AD42</f>
        <v>7920</v>
      </c>
      <c r="AF41" s="5">
        <f>AF42</f>
        <v>17093</v>
      </c>
      <c r="AG41" s="5">
        <f>AG42</f>
        <v>9513</v>
      </c>
      <c r="AH41" s="5">
        <f>AG41-AF41</f>
        <v>-7580</v>
      </c>
      <c r="AI41" s="37">
        <f t="shared" si="8"/>
        <v>0.55654361434505351</v>
      </c>
      <c r="AK41" s="5">
        <f>AK42</f>
        <v>16848</v>
      </c>
      <c r="AM41" s="5">
        <f>AM42</f>
        <v>6007</v>
      </c>
      <c r="AN41" s="227">
        <f>AN42</f>
        <v>8154</v>
      </c>
      <c r="AO41" s="5">
        <f>AN41-AM41</f>
        <v>2147</v>
      </c>
      <c r="AP41" s="37">
        <f t="shared" si="10"/>
        <v>1.3574163475944732</v>
      </c>
      <c r="AR41" s="5">
        <f>AR42</f>
        <v>5904</v>
      </c>
      <c r="AT41" s="5">
        <f>AT42</f>
        <v>6882</v>
      </c>
      <c r="AU41" s="5">
        <f>AU42</f>
        <v>8305</v>
      </c>
      <c r="AV41" s="5">
        <f>AU41-AT41</f>
        <v>1423</v>
      </c>
      <c r="AW41" s="37">
        <f t="shared" si="12"/>
        <v>1.2067712874164487</v>
      </c>
      <c r="AY41" s="5">
        <f>AY42</f>
        <v>6768</v>
      </c>
      <c r="BA41" s="5">
        <f>BA42</f>
        <v>9362</v>
      </c>
      <c r="BB41" s="227">
        <f>BB42</f>
        <v>8003</v>
      </c>
      <c r="BC41" s="227">
        <f>BB41-BA41</f>
        <v>-1359</v>
      </c>
      <c r="BD41" s="37">
        <f t="shared" si="14"/>
        <v>0.85483870967741937</v>
      </c>
      <c r="BF41" s="5">
        <v>9216</v>
      </c>
      <c r="BH41" s="4">
        <f>BH42</f>
        <v>8368</v>
      </c>
      <c r="BI41" s="226">
        <f>BI42</f>
        <v>7852</v>
      </c>
      <c r="BJ41" s="227">
        <f>BI41-BH41</f>
        <v>-516</v>
      </c>
      <c r="BK41" s="37">
        <f t="shared" si="16"/>
        <v>0.93833652007648183</v>
      </c>
      <c r="BM41" s="5">
        <f>SUM(BM42)</f>
        <v>9360</v>
      </c>
      <c r="BO41" s="4">
        <f>BO42</f>
        <v>8779</v>
      </c>
      <c r="BP41" s="4">
        <f>BP42</f>
        <v>8363</v>
      </c>
      <c r="BQ41" s="5">
        <f>BP41-BO41</f>
        <v>-416</v>
      </c>
      <c r="BR41" s="37">
        <f t="shared" si="18"/>
        <v>0.95261419296047389</v>
      </c>
      <c r="BT41" s="5">
        <f>SUM(BT42)</f>
        <v>11232</v>
      </c>
      <c r="BV41" s="4">
        <f>BV42</f>
        <v>5633</v>
      </c>
      <c r="BW41" s="4">
        <f>BW42</f>
        <v>12986</v>
      </c>
      <c r="BX41" s="5">
        <f>BW41-BV41</f>
        <v>7353</v>
      </c>
      <c r="BY41" s="37">
        <f t="shared" si="20"/>
        <v>2.3053435114503817</v>
      </c>
      <c r="CA41" s="4">
        <f>SUM(CA42)</f>
        <v>12528</v>
      </c>
      <c r="CC41" s="4">
        <f>CC42</f>
        <v>4273</v>
      </c>
      <c r="CD41" s="5">
        <f>CD42</f>
        <v>3624</v>
      </c>
      <c r="CE41" s="5">
        <f>CD41-CC41</f>
        <v>-649</v>
      </c>
      <c r="CF41" s="37">
        <f t="shared" si="22"/>
        <v>0.84811607769716824</v>
      </c>
      <c r="CH41" s="4">
        <f>CH42</f>
        <v>9504</v>
      </c>
      <c r="CJ41" s="228">
        <f t="shared" si="23"/>
        <v>89842</v>
      </c>
      <c r="CK41" s="5">
        <f t="shared" si="23"/>
        <v>92470</v>
      </c>
      <c r="CL41" s="5">
        <f t="shared" si="41"/>
        <v>3277</v>
      </c>
      <c r="CM41" s="37">
        <f t="shared" si="25"/>
        <v>1.029251352374168</v>
      </c>
      <c r="CO41" s="4">
        <f t="shared" si="26"/>
        <v>80640</v>
      </c>
      <c r="CQ41" s="5">
        <v>89842</v>
      </c>
      <c r="CR41" s="5">
        <f>+E41+L41+S41+Z41+AG41+AN41+AU41+BB41+BI41+BP41+BW41+CD41</f>
        <v>92470</v>
      </c>
      <c r="CS41" s="5">
        <f>CR41-CQ41</f>
        <v>2628</v>
      </c>
      <c r="CT41" s="37">
        <f t="shared" si="29"/>
        <v>1.029251352374168</v>
      </c>
      <c r="CV41" s="5">
        <f>+I41+P41+W41+AD41+AK41+AR41+AY41+BF41+BM41+BT41+CA41+CH41</f>
        <v>104400</v>
      </c>
      <c r="CX41" s="5">
        <f t="shared" si="31"/>
        <v>18685</v>
      </c>
      <c r="CY41" s="5">
        <f t="shared" si="32"/>
        <v>18685</v>
      </c>
      <c r="CZ41" s="5">
        <f t="shared" si="33"/>
        <v>21487.75</v>
      </c>
      <c r="DA41" s="5">
        <f t="shared" si="34"/>
        <v>113957.75</v>
      </c>
    </row>
    <row r="42" spans="1:105" s="31" customFormat="1" ht="16.5" customHeight="1" x14ac:dyDescent="0.3">
      <c r="A42" s="29">
        <v>36</v>
      </c>
      <c r="B42" s="30" t="s">
        <v>38</v>
      </c>
      <c r="D42" s="3">
        <v>5424</v>
      </c>
      <c r="E42" s="3">
        <v>7550</v>
      </c>
      <c r="F42" s="3">
        <f>E42-D42</f>
        <v>2126</v>
      </c>
      <c r="G42" s="32">
        <f t="shared" si="1"/>
        <v>1.3919616519174041</v>
      </c>
      <c r="I42" s="3">
        <v>5328</v>
      </c>
      <c r="J42" s="221"/>
      <c r="K42" s="33">
        <v>6299</v>
      </c>
      <c r="L42" s="222">
        <v>2869</v>
      </c>
      <c r="M42" s="3">
        <f>L42-K42</f>
        <v>-3430</v>
      </c>
      <c r="N42" s="32">
        <f t="shared" si="2"/>
        <v>0.45546912208287027</v>
      </c>
      <c r="P42" s="3">
        <v>6192</v>
      </c>
      <c r="R42" s="3">
        <v>3673</v>
      </c>
      <c r="S42" s="223">
        <v>8003</v>
      </c>
      <c r="T42" s="3">
        <f>S42-R42</f>
        <v>4330</v>
      </c>
      <c r="U42" s="32">
        <f t="shared" si="4"/>
        <v>2.1788728559760413</v>
      </c>
      <c r="W42" s="3">
        <v>3600</v>
      </c>
      <c r="Y42" s="3">
        <v>8049</v>
      </c>
      <c r="Z42" s="223">
        <v>7248</v>
      </c>
      <c r="AA42" s="3">
        <f>Z42-Y42</f>
        <v>-801</v>
      </c>
      <c r="AB42" s="32">
        <f t="shared" si="40"/>
        <v>0.90048453224002978</v>
      </c>
      <c r="AD42" s="3">
        <f>8064-144</f>
        <v>7920</v>
      </c>
      <c r="AF42" s="3">
        <v>17093</v>
      </c>
      <c r="AG42" s="3">
        <v>9513</v>
      </c>
      <c r="AH42" s="3">
        <f>AG42-AF42</f>
        <v>-7580</v>
      </c>
      <c r="AI42" s="32">
        <f t="shared" si="8"/>
        <v>0.55654361434505351</v>
      </c>
      <c r="AK42" s="3">
        <v>16848</v>
      </c>
      <c r="AM42" s="3">
        <v>6007</v>
      </c>
      <c r="AN42" s="222">
        <v>8154</v>
      </c>
      <c r="AO42" s="3">
        <f>AN42-AM42</f>
        <v>2147</v>
      </c>
      <c r="AP42" s="32">
        <f t="shared" si="10"/>
        <v>1.3574163475944732</v>
      </c>
      <c r="AR42" s="3">
        <v>5904</v>
      </c>
      <c r="AT42" s="9">
        <v>6882</v>
      </c>
      <c r="AU42" s="9">
        <v>8305</v>
      </c>
      <c r="AV42" s="3">
        <f>AU42-AT42</f>
        <v>1423</v>
      </c>
      <c r="AW42" s="32">
        <f t="shared" si="12"/>
        <v>1.2067712874164487</v>
      </c>
      <c r="AY42" s="9">
        <v>6768</v>
      </c>
      <c r="BA42" s="3">
        <v>9362</v>
      </c>
      <c r="BB42" s="222">
        <v>8003</v>
      </c>
      <c r="BC42" s="222">
        <f>BB42-BA42</f>
        <v>-1359</v>
      </c>
      <c r="BD42" s="32">
        <f t="shared" si="14"/>
        <v>0.85483870967741937</v>
      </c>
      <c r="BF42" s="3">
        <v>9216</v>
      </c>
      <c r="BH42" s="3">
        <v>8368</v>
      </c>
      <c r="BI42" s="222">
        <v>7852</v>
      </c>
      <c r="BJ42" s="222">
        <f>BI42-BH42</f>
        <v>-516</v>
      </c>
      <c r="BK42" s="32">
        <f t="shared" si="16"/>
        <v>0.93833652007648183</v>
      </c>
      <c r="BM42" s="3">
        <v>9360</v>
      </c>
      <c r="BO42" s="3">
        <v>8779</v>
      </c>
      <c r="BP42" s="3">
        <v>8363</v>
      </c>
      <c r="BQ42" s="3">
        <f>BP42-BO42</f>
        <v>-416</v>
      </c>
      <c r="BR42" s="32">
        <f t="shared" si="18"/>
        <v>0.95261419296047389</v>
      </c>
      <c r="BT42" s="3">
        <f>11232</f>
        <v>11232</v>
      </c>
      <c r="BV42" s="3">
        <v>5633</v>
      </c>
      <c r="BW42" s="34">
        <v>12986</v>
      </c>
      <c r="BX42" s="3">
        <f>BW42-BV42</f>
        <v>7353</v>
      </c>
      <c r="BY42" s="32">
        <f t="shared" si="20"/>
        <v>2.3053435114503817</v>
      </c>
      <c r="CA42" s="3">
        <f>12528</f>
        <v>12528</v>
      </c>
      <c r="CC42" s="3">
        <v>4273</v>
      </c>
      <c r="CD42" s="3">
        <v>3624</v>
      </c>
      <c r="CE42" s="3">
        <f>CD42-CC42</f>
        <v>-649</v>
      </c>
      <c r="CF42" s="32">
        <f t="shared" si="22"/>
        <v>0.84811607769716824</v>
      </c>
      <c r="CH42" s="3">
        <v>9504</v>
      </c>
      <c r="CJ42" s="225">
        <f t="shared" si="23"/>
        <v>89842</v>
      </c>
      <c r="CK42" s="3">
        <f t="shared" si="23"/>
        <v>92470</v>
      </c>
      <c r="CL42" s="3">
        <f t="shared" si="41"/>
        <v>3277</v>
      </c>
      <c r="CM42" s="32">
        <f t="shared" si="25"/>
        <v>1.029251352374168</v>
      </c>
      <c r="CO42" s="3">
        <f t="shared" si="26"/>
        <v>80640</v>
      </c>
      <c r="CQ42" s="3">
        <v>89842</v>
      </c>
      <c r="CR42" s="3">
        <f>+E42+L42+S42+Z42+AG42+AN42+AU42+BB42+BI42+BP42+BW42+CD42</f>
        <v>92470</v>
      </c>
      <c r="CS42" s="3">
        <f>CR42-CQ42</f>
        <v>2628</v>
      </c>
      <c r="CT42" s="32">
        <f t="shared" si="29"/>
        <v>1.029251352374168</v>
      </c>
      <c r="CV42" s="3">
        <f>+I42+P42+W42+AD42+AK42+AR42+AY42+BF42+BM42+BT42+CA42+CH42</f>
        <v>104400</v>
      </c>
      <c r="CX42" s="3">
        <f t="shared" si="31"/>
        <v>18685</v>
      </c>
      <c r="CY42" s="3">
        <f t="shared" si="32"/>
        <v>18685</v>
      </c>
      <c r="CZ42" s="3">
        <f t="shared" si="33"/>
        <v>21487.75</v>
      </c>
      <c r="DA42" s="3">
        <f t="shared" si="34"/>
        <v>113957.75</v>
      </c>
    </row>
    <row r="43" spans="1:105" s="26" customFormat="1" ht="16.5" customHeight="1" x14ac:dyDescent="0.3">
      <c r="A43" s="35"/>
      <c r="B43" s="36" t="s">
        <v>39</v>
      </c>
      <c r="D43" s="5">
        <f>D44</f>
        <v>116518</v>
      </c>
      <c r="E43" s="5">
        <f>E44</f>
        <v>9291</v>
      </c>
      <c r="F43" s="4">
        <f>E43-D43</f>
        <v>-107227</v>
      </c>
      <c r="G43" s="37">
        <f t="shared" si="1"/>
        <v>7.9738752810724525E-2</v>
      </c>
      <c r="I43" s="5">
        <f>I44</f>
        <v>88442.63</v>
      </c>
      <c r="J43" s="218"/>
      <c r="K43" s="42">
        <f>K44</f>
        <v>109444</v>
      </c>
      <c r="L43" s="227">
        <f>L44</f>
        <v>52200.07</v>
      </c>
      <c r="M43" s="5">
        <f>L43-K43</f>
        <v>-57243.93</v>
      </c>
      <c r="N43" s="37">
        <f t="shared" si="2"/>
        <v>0.47695689119549722</v>
      </c>
      <c r="P43" s="5">
        <f>P44</f>
        <v>173270.2</v>
      </c>
      <c r="R43" s="5">
        <f>R44</f>
        <v>112651</v>
      </c>
      <c r="S43" s="227">
        <f>S44</f>
        <v>16470</v>
      </c>
      <c r="T43" s="5">
        <f>S43-R43</f>
        <v>-96181</v>
      </c>
      <c r="U43" s="37">
        <f t="shared" si="4"/>
        <v>0.14620376206158844</v>
      </c>
      <c r="W43" s="5">
        <f>W44</f>
        <v>75347.16</v>
      </c>
      <c r="Y43" s="5">
        <f>Y44</f>
        <v>123659</v>
      </c>
      <c r="Z43" s="227">
        <f>Z44</f>
        <v>30380</v>
      </c>
      <c r="AA43" s="5">
        <f>Z43-Y43</f>
        <v>-93279</v>
      </c>
      <c r="AB43" s="37">
        <f t="shared" si="40"/>
        <v>0.24567560792178492</v>
      </c>
      <c r="AD43" s="5">
        <f>AD44</f>
        <v>62652.3</v>
      </c>
      <c r="AF43" s="5">
        <f>AF44</f>
        <v>111523</v>
      </c>
      <c r="AG43" s="5">
        <f>AG44</f>
        <v>27231.01</v>
      </c>
      <c r="AH43" s="5">
        <f>AG43-AF43</f>
        <v>-84291.99</v>
      </c>
      <c r="AI43" s="37">
        <f t="shared" si="8"/>
        <v>0.24417393721474492</v>
      </c>
      <c r="AK43" s="5">
        <f>AK44</f>
        <v>134436.38</v>
      </c>
      <c r="AM43" s="5">
        <f>AM44</f>
        <v>113500</v>
      </c>
      <c r="AN43" s="227">
        <f>AN44</f>
        <v>25115.25</v>
      </c>
      <c r="AO43" s="5">
        <f>AN43-AM43</f>
        <v>-88384.75</v>
      </c>
      <c r="AP43" s="37">
        <f t="shared" si="10"/>
        <v>0.22127973568281939</v>
      </c>
      <c r="AR43" s="5">
        <f>AR44</f>
        <v>102165.65</v>
      </c>
      <c r="AT43" s="5">
        <f>AT44</f>
        <v>106368</v>
      </c>
      <c r="AU43" s="5">
        <f>AU44</f>
        <v>9910.65</v>
      </c>
      <c r="AV43" s="5">
        <f>AU43-AT43</f>
        <v>-96457.35</v>
      </c>
      <c r="AW43" s="37">
        <f t="shared" si="12"/>
        <v>9.317322879061371E-2</v>
      </c>
      <c r="AY43" s="5">
        <f>AY44</f>
        <v>132660.79</v>
      </c>
      <c r="BA43" s="5">
        <f>BA44</f>
        <v>105588</v>
      </c>
      <c r="BB43" s="227">
        <f>BB44</f>
        <v>1260</v>
      </c>
      <c r="BC43" s="227">
        <f>BB43-BA43</f>
        <v>-104328</v>
      </c>
      <c r="BD43" s="37">
        <f t="shared" si="14"/>
        <v>1.1933174224343675E-2</v>
      </c>
      <c r="BF43" s="5">
        <f>BF44</f>
        <v>99196.92</v>
      </c>
      <c r="BH43" s="4">
        <f>BH44</f>
        <v>102323</v>
      </c>
      <c r="BI43" s="226">
        <f>BI44</f>
        <v>0</v>
      </c>
      <c r="BJ43" s="227">
        <f>BI43-BH43</f>
        <v>-102323</v>
      </c>
      <c r="BK43" s="37">
        <f t="shared" si="16"/>
        <v>0</v>
      </c>
      <c r="BM43" s="5">
        <f>SUM(BM44)</f>
        <v>133071.36000000002</v>
      </c>
      <c r="BO43" s="4">
        <f>BO44</f>
        <v>109944</v>
      </c>
      <c r="BP43" s="4">
        <f>BP44</f>
        <v>10187</v>
      </c>
      <c r="BQ43" s="5">
        <f>BP43-BO43</f>
        <v>-99757</v>
      </c>
      <c r="BR43" s="37">
        <f t="shared" si="18"/>
        <v>9.2656261369424439E-2</v>
      </c>
      <c r="BT43" s="5">
        <f>SUM(BT44)</f>
        <v>24424.21</v>
      </c>
      <c r="BV43" s="4">
        <f>BV44</f>
        <v>125065</v>
      </c>
      <c r="BW43" s="4">
        <f>BW44</f>
        <v>0</v>
      </c>
      <c r="BX43" s="5">
        <f>BW43-BV43</f>
        <v>-125065</v>
      </c>
      <c r="BY43" s="37">
        <f t="shared" si="20"/>
        <v>0</v>
      </c>
      <c r="CA43" s="4">
        <f>SUM(CA44)</f>
        <v>81019.839999999997</v>
      </c>
      <c r="CC43" s="4">
        <f>CC44</f>
        <v>103501</v>
      </c>
      <c r="CD43" s="5">
        <f>CD44</f>
        <v>2248</v>
      </c>
      <c r="CE43" s="5">
        <f>CD43-CC43</f>
        <v>-101253</v>
      </c>
      <c r="CF43" s="37">
        <f t="shared" si="22"/>
        <v>2.171959691210713E-2</v>
      </c>
      <c r="CH43" s="4">
        <f>CH44</f>
        <v>56201.13</v>
      </c>
      <c r="CJ43" s="228">
        <f t="shared" si="23"/>
        <v>1340084</v>
      </c>
      <c r="CK43" s="5">
        <f t="shared" si="23"/>
        <v>184292.98</v>
      </c>
      <c r="CL43" s="5">
        <f t="shared" si="41"/>
        <v>-1054538.02</v>
      </c>
      <c r="CM43" s="37">
        <f t="shared" si="25"/>
        <v>0.1375234537536453</v>
      </c>
      <c r="CO43" s="4">
        <f t="shared" si="26"/>
        <v>1057444.52</v>
      </c>
      <c r="CQ43" s="5">
        <v>1340084</v>
      </c>
      <c r="CR43" s="5">
        <f>+E43+L43+S43+Z43+AG43+AN43+AU43+BB43+BI43+BP43+BW43+CD43</f>
        <v>184292.98</v>
      </c>
      <c r="CS43" s="5">
        <f>CR43-CQ43</f>
        <v>-1155791.02</v>
      </c>
      <c r="CT43" s="37">
        <f t="shared" si="29"/>
        <v>0.1375234537536453</v>
      </c>
      <c r="CV43" s="5">
        <f>+I43+P43+W43+AD43+AK43+AR43+AY43+BF43+BM43+BT43+CA43+CH43</f>
        <v>1162888.5699999998</v>
      </c>
      <c r="CX43" s="5">
        <f t="shared" si="31"/>
        <v>338510</v>
      </c>
      <c r="CY43" s="5">
        <f t="shared" si="32"/>
        <v>338510</v>
      </c>
      <c r="CZ43" s="5">
        <f t="shared" si="33"/>
        <v>389286.49999999994</v>
      </c>
      <c r="DA43" s="5">
        <f t="shared" si="34"/>
        <v>573579.48</v>
      </c>
    </row>
    <row r="44" spans="1:105" s="31" customFormat="1" ht="16.5" customHeight="1" x14ac:dyDescent="0.3">
      <c r="A44" s="29">
        <v>37</v>
      </c>
      <c r="B44" s="30" t="s">
        <v>40</v>
      </c>
      <c r="D44" s="3">
        <v>116518</v>
      </c>
      <c r="E44" s="3">
        <v>9291</v>
      </c>
      <c r="F44" s="3">
        <f>E44-D44</f>
        <v>-107227</v>
      </c>
      <c r="G44" s="32">
        <f t="shared" si="1"/>
        <v>7.9738752810724525E-2</v>
      </c>
      <c r="I44" s="3">
        <v>88442.63</v>
      </c>
      <c r="J44" s="221"/>
      <c r="K44" s="33">
        <v>109444</v>
      </c>
      <c r="L44" s="255">
        <v>52200.07</v>
      </c>
      <c r="M44" s="3">
        <f>L44-K44</f>
        <v>-57243.93</v>
      </c>
      <c r="N44" s="32">
        <f t="shared" si="2"/>
        <v>0.47695689119549722</v>
      </c>
      <c r="P44" s="3">
        <v>173270.2</v>
      </c>
      <c r="R44" s="3">
        <v>112651</v>
      </c>
      <c r="S44" s="223">
        <v>16470</v>
      </c>
      <c r="T44" s="3">
        <f>S44-R44</f>
        <v>-96181</v>
      </c>
      <c r="U44" s="32">
        <f t="shared" si="4"/>
        <v>0.14620376206158844</v>
      </c>
      <c r="W44" s="3">
        <f>82844.16-7497</f>
        <v>75347.16</v>
      </c>
      <c r="Y44" s="3">
        <v>123659</v>
      </c>
      <c r="Z44" s="223">
        <v>30380</v>
      </c>
      <c r="AA44" s="3">
        <f>Z44-Y44</f>
        <v>-93279</v>
      </c>
      <c r="AB44" s="32">
        <f t="shared" si="40"/>
        <v>0.24567560792178492</v>
      </c>
      <c r="AD44" s="3">
        <f>73228.3-10576</f>
        <v>62652.3</v>
      </c>
      <c r="AF44" s="3">
        <v>111523</v>
      </c>
      <c r="AG44" s="3">
        <v>27231.01</v>
      </c>
      <c r="AH44" s="3">
        <f>AG44-AF44</f>
        <v>-84291.99</v>
      </c>
      <c r="AI44" s="32">
        <f t="shared" si="8"/>
        <v>0.24417393721474492</v>
      </c>
      <c r="AK44" s="3">
        <f>139674.38-5238</f>
        <v>134436.38</v>
      </c>
      <c r="AM44" s="3">
        <v>113500</v>
      </c>
      <c r="AN44" s="222">
        <v>25115.25</v>
      </c>
      <c r="AO44" s="3">
        <f>AN44-AM44</f>
        <v>-88384.75</v>
      </c>
      <c r="AP44" s="32">
        <f t="shared" si="10"/>
        <v>0.22127973568281939</v>
      </c>
      <c r="AR44" s="3">
        <f>105722.65-3557</f>
        <v>102165.65</v>
      </c>
      <c r="AT44" s="3">
        <v>106368</v>
      </c>
      <c r="AU44" s="3">
        <v>9910.65</v>
      </c>
      <c r="AV44" s="3">
        <f>AU44-AT44</f>
        <v>-96457.35</v>
      </c>
      <c r="AW44" s="32">
        <f t="shared" si="12"/>
        <v>9.317322879061371E-2</v>
      </c>
      <c r="AY44" s="3">
        <v>132660.79</v>
      </c>
      <c r="BA44" s="3">
        <v>105588</v>
      </c>
      <c r="BB44" s="222">
        <v>1260</v>
      </c>
      <c r="BC44" s="222">
        <f>BB44-BA44</f>
        <v>-104328</v>
      </c>
      <c r="BD44" s="32">
        <f t="shared" si="14"/>
        <v>1.1933174224343675E-2</v>
      </c>
      <c r="BF44" s="3">
        <v>99196.92</v>
      </c>
      <c r="BH44" s="3">
        <v>102323</v>
      </c>
      <c r="BI44" s="222">
        <v>0</v>
      </c>
      <c r="BJ44" s="222">
        <f>BI44-BH44</f>
        <v>-102323</v>
      </c>
      <c r="BK44" s="32">
        <f t="shared" si="16"/>
        <v>0</v>
      </c>
      <c r="BM44" s="3">
        <f>250762.89-117691.53</f>
        <v>133071.36000000002</v>
      </c>
      <c r="BO44" s="3">
        <v>109944</v>
      </c>
      <c r="BP44" s="3">
        <v>10187</v>
      </c>
      <c r="BQ44" s="3">
        <f>BP44-BO44</f>
        <v>-99757</v>
      </c>
      <c r="BR44" s="32">
        <f t="shared" si="18"/>
        <v>9.2656261369424439E-2</v>
      </c>
      <c r="BT44" s="3">
        <f>24424.21</f>
        <v>24424.21</v>
      </c>
      <c r="BV44" s="3">
        <v>125065</v>
      </c>
      <c r="BW44" s="34">
        <v>0</v>
      </c>
      <c r="BX44" s="3">
        <f>BW44-BV44</f>
        <v>-125065</v>
      </c>
      <c r="BY44" s="32">
        <f t="shared" si="20"/>
        <v>0</v>
      </c>
      <c r="CA44" s="3">
        <f>81539.84-520</f>
        <v>81019.839999999997</v>
      </c>
      <c r="CC44" s="3">
        <v>103501</v>
      </c>
      <c r="CD44" s="3">
        <v>2248</v>
      </c>
      <c r="CE44" s="3">
        <f>CD44-CC44</f>
        <v>-101253</v>
      </c>
      <c r="CF44" s="32">
        <f t="shared" si="22"/>
        <v>2.171959691210713E-2</v>
      </c>
      <c r="CH44" s="3">
        <f>64181.56-7980.43</f>
        <v>56201.13</v>
      </c>
      <c r="CJ44" s="225">
        <f t="shared" si="23"/>
        <v>1340084</v>
      </c>
      <c r="CK44" s="3">
        <f t="shared" si="23"/>
        <v>184292.98</v>
      </c>
      <c r="CL44" s="3">
        <f t="shared" si="41"/>
        <v>-1054538.02</v>
      </c>
      <c r="CM44" s="32">
        <f t="shared" si="25"/>
        <v>0.1375234537536453</v>
      </c>
      <c r="CO44" s="3">
        <f t="shared" si="26"/>
        <v>1057444.52</v>
      </c>
      <c r="CQ44" s="3">
        <v>1340084</v>
      </c>
      <c r="CR44" s="3">
        <f>+E44+L44+S44+Z44+AG44+AN44+AU44+BB44+BI44+BP44+BW44+CD44</f>
        <v>184292.98</v>
      </c>
      <c r="CS44" s="3">
        <f>CR44-CQ44</f>
        <v>-1155791.02</v>
      </c>
      <c r="CT44" s="32">
        <f t="shared" si="29"/>
        <v>0.1375234537536453</v>
      </c>
      <c r="CV44" s="3">
        <f>+I44+P44+W44+AD44+AK44+AR44+AY44+BF44+BM44+BT44+CA44+CH44</f>
        <v>1162888.5699999998</v>
      </c>
      <c r="CX44" s="3">
        <f t="shared" si="31"/>
        <v>338510</v>
      </c>
      <c r="CY44" s="3">
        <f t="shared" si="32"/>
        <v>338510</v>
      </c>
      <c r="CZ44" s="3">
        <f t="shared" si="33"/>
        <v>389286.49999999994</v>
      </c>
      <c r="DA44" s="3">
        <f t="shared" si="34"/>
        <v>573579.48</v>
      </c>
    </row>
    <row r="45" spans="1:105" s="245" customFormat="1" ht="14.25" customHeight="1" x14ac:dyDescent="0.3">
      <c r="A45" s="234"/>
      <c r="B45" s="235" t="s">
        <v>41</v>
      </c>
      <c r="C45" s="236"/>
      <c r="D45" s="237">
        <f>+D23+D25+D39+D41+D43</f>
        <v>7895827</v>
      </c>
      <c r="E45" s="237">
        <f>+E23+E25+E39+E41+E43</f>
        <v>12949414.75</v>
      </c>
      <c r="F45" s="237">
        <f>+F23+F25+F39+F41+F43</f>
        <v>5053587.75</v>
      </c>
      <c r="G45" s="238">
        <f t="shared" si="1"/>
        <v>1.6400327350130646</v>
      </c>
      <c r="H45" s="236"/>
      <c r="I45" s="239">
        <f>+I23+I25+I39+I41+I43</f>
        <v>9320491.5</v>
      </c>
      <c r="J45" s="236"/>
      <c r="K45" s="237">
        <f>+K23+K25+K39+K41+K43</f>
        <v>7937553</v>
      </c>
      <c r="L45" s="237">
        <f>+L23+L25+L39+L41+L43</f>
        <v>10873959.779999999</v>
      </c>
      <c r="M45" s="237">
        <f>+M23+M25+M39+M41+M43</f>
        <v>2936406.7799999993</v>
      </c>
      <c r="N45" s="238">
        <f t="shared" si="2"/>
        <v>1.3699385415127305</v>
      </c>
      <c r="O45" s="236"/>
      <c r="P45" s="239">
        <f>+P23+P25+P39+P41+P43</f>
        <v>9340585.25</v>
      </c>
      <c r="Q45" s="236"/>
      <c r="R45" s="237">
        <f>+R23+R25+R39+R41+R43</f>
        <v>11501939</v>
      </c>
      <c r="S45" s="237">
        <f>+S23+S25+S39+S41+S43</f>
        <v>10976074.68</v>
      </c>
      <c r="T45" s="237">
        <f>+T23+T25+T39+T41+T43</f>
        <v>-525864.31999999995</v>
      </c>
      <c r="U45" s="238">
        <f t="shared" si="4"/>
        <v>0.95428037655216214</v>
      </c>
      <c r="V45" s="236"/>
      <c r="W45" s="239">
        <f>+W23+W25+W39+W41+W43</f>
        <v>12754991.690000001</v>
      </c>
      <c r="X45" s="236"/>
      <c r="Y45" s="237">
        <f>+Y23+Y25+Y39+Y41+Y43</f>
        <v>6429607</v>
      </c>
      <c r="Z45" s="237">
        <f>+Z23+Z25+Z39+Z41+Z43</f>
        <v>12311674.83</v>
      </c>
      <c r="AA45" s="237">
        <f>+AA23+AA25+AA39+AA41+AA43</f>
        <v>5882067.8300000001</v>
      </c>
      <c r="AB45" s="238">
        <f t="shared" si="40"/>
        <v>1.9148409583976127</v>
      </c>
      <c r="AC45" s="236"/>
      <c r="AD45" s="239">
        <f>+AD23+AD25+AD39+AD41+AD43</f>
        <v>7366511.4799999986</v>
      </c>
      <c r="AE45" s="236"/>
      <c r="AF45" s="237">
        <f>+AF23+AF25+AF39+AF41+AF43</f>
        <v>7037315</v>
      </c>
      <c r="AG45" s="237">
        <f>+AG23+AG25+AG39+AG41+AG43</f>
        <v>7392854.5699999994</v>
      </c>
      <c r="AH45" s="237">
        <f>+AH23+AH25+AH39+AH41+AH43</f>
        <v>355539.56999999983</v>
      </c>
      <c r="AI45" s="238">
        <f t="shared" si="8"/>
        <v>1.0505220485369775</v>
      </c>
      <c r="AJ45" s="236"/>
      <c r="AK45" s="237">
        <f>+AK23+AK25+AK39+AK41+AK43</f>
        <v>8410255.6500000004</v>
      </c>
      <c r="AL45" s="240"/>
      <c r="AM45" s="237">
        <f>+AM23+AM25+AM39+AM41+AM43</f>
        <v>7124992</v>
      </c>
      <c r="AN45" s="237">
        <f>+AN23+AN25+AN39+AN41+AN43</f>
        <v>14075917.299999999</v>
      </c>
      <c r="AO45" s="237">
        <f>+AO23+AO25+AO39+AO41+AO43</f>
        <v>6950925.3000000007</v>
      </c>
      <c r="AP45" s="238">
        <f t="shared" si="10"/>
        <v>1.975569558534241</v>
      </c>
      <c r="AQ45" s="236"/>
      <c r="AR45" s="237">
        <f>+AR23+AR25+AR39+AR41+AR43</f>
        <v>7987937.4699999997</v>
      </c>
      <c r="AS45" s="236"/>
      <c r="AT45" s="237">
        <f>+AT23+AT25+AT39+AT41+AT43</f>
        <v>9409503</v>
      </c>
      <c r="AU45" s="237">
        <f>+AU23+AU25+AU39+AU41+AU43</f>
        <v>10360687.27</v>
      </c>
      <c r="AV45" s="237">
        <f>+AV23+AV25+AV39+AV41+AV43</f>
        <v>951184.2699999999</v>
      </c>
      <c r="AW45" s="238">
        <f t="shared" si="12"/>
        <v>1.1010876206745457</v>
      </c>
      <c r="AX45" s="236"/>
      <c r="AY45" s="237">
        <f>+AY23+AY25+AY39+AY41+AY43</f>
        <v>10689656.91</v>
      </c>
      <c r="AZ45" s="236"/>
      <c r="BA45" s="237">
        <f>+BA23+BA25+BA39+BA41+BA43</f>
        <v>6297558</v>
      </c>
      <c r="BB45" s="237">
        <f>+BB23+BB25+BB39+BB41+BB43</f>
        <v>13542968.249999998</v>
      </c>
      <c r="BC45" s="237">
        <f>+BC23+BC25+BC39+BC41+BC43</f>
        <v>7245410.2499999991</v>
      </c>
      <c r="BD45" s="238">
        <f t="shared" si="14"/>
        <v>2.1505110790563577</v>
      </c>
      <c r="BE45" s="236"/>
      <c r="BF45" s="237">
        <f>+BF23+BF25+BF39+BF41+BF43</f>
        <v>7233788.79</v>
      </c>
      <c r="BG45" s="236"/>
      <c r="BH45" s="237">
        <f>+BH23+BH25+BH39+BH41+BH43</f>
        <v>11518431</v>
      </c>
      <c r="BI45" s="237">
        <f>+BI23+BI25+BI39+BI41+BI43</f>
        <v>10810864.469999999</v>
      </c>
      <c r="BJ45" s="237">
        <f>+BJ23+BJ25+BJ39+BJ41+BJ43</f>
        <v>-707566.52999999991</v>
      </c>
      <c r="BK45" s="238">
        <f t="shared" si="16"/>
        <v>0.93857092775917128</v>
      </c>
      <c r="BL45" s="236"/>
      <c r="BM45" s="237">
        <f>+BM23+BM25+BM39+BM41+BM43</f>
        <v>11833514.990000002</v>
      </c>
      <c r="BN45" s="236"/>
      <c r="BO45" s="237">
        <f>+BO23+BO25+BO39+BO41+BO43</f>
        <v>7906760</v>
      </c>
      <c r="BP45" s="237">
        <f>+BP23+BP25+BP39+BP41+BP43</f>
        <v>11912509.57</v>
      </c>
      <c r="BQ45" s="237">
        <f>+BQ23+BQ25+BQ39+BQ41+BQ43</f>
        <v>4005749.5700000003</v>
      </c>
      <c r="BR45" s="238">
        <f t="shared" si="18"/>
        <v>1.5066233918823893</v>
      </c>
      <c r="BS45" s="236"/>
      <c r="BT45" s="237">
        <f>+BT23+BT25+BT39+BT41+BT43</f>
        <v>7356420.3200000012</v>
      </c>
      <c r="BU45" s="236"/>
      <c r="BV45" s="237">
        <f>+BV23+BV25+BV39+BV41+BV43</f>
        <v>6930900</v>
      </c>
      <c r="BW45" s="237">
        <f>+BW23+BW25+BW39+BW41+BW43</f>
        <v>10392269.279999999</v>
      </c>
      <c r="BX45" s="237">
        <f>+BX23+BX25+BX39+BX41+BX43</f>
        <v>3461369.28</v>
      </c>
      <c r="BY45" s="238">
        <f t="shared" si="20"/>
        <v>1.4994112279790504</v>
      </c>
      <c r="BZ45" s="236"/>
      <c r="CA45" s="237">
        <f>+CA23+CA25+CA39+CA41+CA43</f>
        <v>12812714.230000002</v>
      </c>
      <c r="CB45" s="236"/>
      <c r="CC45" s="237">
        <f>+CC23+CC25+CC39+CC41+CC43</f>
        <v>10371324</v>
      </c>
      <c r="CD45" s="237">
        <f>+CD23+CD25+CD39+CD41+CD43</f>
        <v>14515499.66</v>
      </c>
      <c r="CE45" s="237">
        <f>+CE23+CE25+CE39+CE41+CE43</f>
        <v>4144175.66</v>
      </c>
      <c r="CF45" s="238">
        <f t="shared" si="22"/>
        <v>1.3995801943898387</v>
      </c>
      <c r="CG45" s="236"/>
      <c r="CH45" s="237">
        <f>+CH23+CH25+CH39+CH41+CH43</f>
        <v>9170657.0700000003</v>
      </c>
      <c r="CI45" s="236"/>
      <c r="CJ45" s="237">
        <f t="shared" si="23"/>
        <v>100361709</v>
      </c>
      <c r="CK45" s="237">
        <f t="shared" si="23"/>
        <v>140114694.41</v>
      </c>
      <c r="CL45" s="237">
        <f>+CL23+CL25+CL39+CL41+CL43</f>
        <v>35608809.750000007</v>
      </c>
      <c r="CM45" s="238">
        <f t="shared" si="25"/>
        <v>1.396097135113552</v>
      </c>
      <c r="CN45" s="236"/>
      <c r="CO45" s="237">
        <f t="shared" si="26"/>
        <v>94108390.800000012</v>
      </c>
      <c r="CP45" s="236"/>
      <c r="CQ45" s="237">
        <f>+CQ23+CQ25+CQ39+CQ41+CQ43</f>
        <v>100361709</v>
      </c>
      <c r="CR45" s="237">
        <f>+CR23+CR25+CR39+CR41+CR43</f>
        <v>140114694.41</v>
      </c>
      <c r="CS45" s="237">
        <f>+CS23+CS25+CS39+CS41+CS43</f>
        <v>39752985.409999989</v>
      </c>
      <c r="CT45" s="241">
        <f t="shared" si="29"/>
        <v>1.396097135113552</v>
      </c>
      <c r="CU45" s="242"/>
      <c r="CV45" s="237">
        <f>+CV23+CV25+CV39+CV41+CV43</f>
        <v>114277525.34999995</v>
      </c>
      <c r="CW45" s="243"/>
      <c r="CX45" s="237">
        <f t="shared" si="31"/>
        <v>25208984</v>
      </c>
      <c r="CY45" s="244">
        <f t="shared" si="32"/>
        <v>25208984</v>
      </c>
      <c r="CZ45" s="244">
        <f t="shared" si="33"/>
        <v>28990331.599999998</v>
      </c>
      <c r="DA45" s="244">
        <f t="shared" si="34"/>
        <v>169105026.00999999</v>
      </c>
    </row>
    <row r="46" spans="1:105" s="31" customFormat="1" ht="16.5" customHeight="1" x14ac:dyDescent="0.3">
      <c r="A46" s="29">
        <v>38</v>
      </c>
      <c r="B46" s="30" t="s">
        <v>42</v>
      </c>
      <c r="D46" s="3">
        <v>684510</v>
      </c>
      <c r="E46" s="3">
        <v>1645477.13</v>
      </c>
      <c r="F46" s="3">
        <f>E46-D46</f>
        <v>960967.12999999989</v>
      </c>
      <c r="G46" s="32">
        <f t="shared" si="1"/>
        <v>2.4038759550627455</v>
      </c>
      <c r="I46" s="3">
        <f>2051926.93-1342158.42</f>
        <v>709768.51</v>
      </c>
      <c r="J46" s="221"/>
      <c r="K46" s="33">
        <v>703849</v>
      </c>
      <c r="L46" s="256">
        <v>2137409.59</v>
      </c>
      <c r="M46" s="3">
        <f>L46-K46</f>
        <v>1433560.5899999999</v>
      </c>
      <c r="N46" s="32">
        <f t="shared" si="2"/>
        <v>3.0367445148036012</v>
      </c>
      <c r="P46" s="3">
        <f>2139271.1-1399176.6</f>
        <v>740094.5</v>
      </c>
      <c r="R46" s="3">
        <v>1088938</v>
      </c>
      <c r="S46" s="223">
        <v>2723063.6100000003</v>
      </c>
      <c r="T46" s="3">
        <f>S46-R46</f>
        <v>1634125.6100000003</v>
      </c>
      <c r="U46" s="32">
        <f t="shared" si="4"/>
        <v>2.5006599181955265</v>
      </c>
      <c r="W46" s="3">
        <f>3427063.31-2259880.39</f>
        <v>1167182.92</v>
      </c>
      <c r="Y46" s="3">
        <v>952481</v>
      </c>
      <c r="Z46" s="223">
        <v>2952144.21</v>
      </c>
      <c r="AA46" s="3">
        <f>Z46-Y46</f>
        <v>1999663.21</v>
      </c>
      <c r="AB46" s="32">
        <f t="shared" si="40"/>
        <v>3.099425825816998</v>
      </c>
      <c r="AD46" s="3">
        <f>3007453.86-1982398.96</f>
        <v>1025054.8999999999</v>
      </c>
      <c r="AF46" s="3">
        <v>1082084</v>
      </c>
      <c r="AG46" s="3">
        <v>905244.43</v>
      </c>
      <c r="AH46" s="3">
        <f>AG46-AF46</f>
        <v>-176839.56999999995</v>
      </c>
      <c r="AI46" s="32">
        <f t="shared" si="8"/>
        <v>0.83657500711589861</v>
      </c>
      <c r="AK46" s="3">
        <f>1164576.62-5264.5</f>
        <v>1159312.1200000001</v>
      </c>
      <c r="AM46" s="3">
        <v>707363</v>
      </c>
      <c r="AN46" s="222">
        <v>2883913.72</v>
      </c>
      <c r="AO46" s="3">
        <f>AN46-AM46</f>
        <v>2176550.7200000002</v>
      </c>
      <c r="AP46" s="32">
        <f t="shared" si="10"/>
        <v>4.0769926049284457</v>
      </c>
      <c r="AR46" s="3">
        <f>749822.78-10515.5</f>
        <v>739307.28</v>
      </c>
      <c r="AT46" s="3">
        <v>1204094</v>
      </c>
      <c r="AU46" s="3">
        <v>3516361.44</v>
      </c>
      <c r="AV46" s="3">
        <f>AU46-AT46</f>
        <v>2312267.44</v>
      </c>
      <c r="AW46" s="32">
        <f t="shared" si="12"/>
        <v>2.9203379802573552</v>
      </c>
      <c r="AY46" s="3">
        <f>1293285.83-13969.45</f>
        <v>1279316.3800000001</v>
      </c>
      <c r="BA46" s="3">
        <v>1149177</v>
      </c>
      <c r="BB46" s="222">
        <v>3032089.06</v>
      </c>
      <c r="BC46" s="222">
        <f>BB46-BA46</f>
        <v>1882912.06</v>
      </c>
      <c r="BD46" s="32">
        <f t="shared" si="14"/>
        <v>2.6384874218679979</v>
      </c>
      <c r="BF46" s="3">
        <f>1231661.68-12814</f>
        <v>1218847.68</v>
      </c>
      <c r="BH46" s="3">
        <v>633036</v>
      </c>
      <c r="BI46" s="222">
        <v>2941240.87</v>
      </c>
      <c r="BJ46" s="222">
        <f>BI46-BH46</f>
        <v>2308204.87</v>
      </c>
      <c r="BK46" s="32">
        <f t="shared" si="16"/>
        <v>4.6462458217226192</v>
      </c>
      <c r="BM46" s="224">
        <f>1759909.21-213583.99</f>
        <v>1546325.22</v>
      </c>
      <c r="BO46" s="3">
        <v>731418</v>
      </c>
      <c r="BP46" s="3">
        <v>3180674.31</v>
      </c>
      <c r="BQ46" s="3">
        <f>BP46-BO46</f>
        <v>2449256.31</v>
      </c>
      <c r="BR46" s="32">
        <f t="shared" si="18"/>
        <v>4.3486410096552177</v>
      </c>
      <c r="BT46" s="3">
        <f>1335206.66-669605.52</f>
        <v>665601.1399999999</v>
      </c>
      <c r="BV46" s="3">
        <v>550228</v>
      </c>
      <c r="BW46" s="34">
        <v>3056299.79</v>
      </c>
      <c r="BX46" s="3">
        <f>BW46-BV46</f>
        <v>2506071.79</v>
      </c>
      <c r="BY46" s="32">
        <f t="shared" si="20"/>
        <v>5.5546060723918087</v>
      </c>
      <c r="CA46" s="3">
        <f>776652.49-99749.45</f>
        <v>676903.04</v>
      </c>
      <c r="CC46" s="3">
        <v>650659</v>
      </c>
      <c r="CD46" s="3">
        <v>1172497.4099999999</v>
      </c>
      <c r="CE46" s="3">
        <f>CD46-CC46</f>
        <v>521838.40999999992</v>
      </c>
      <c r="CF46" s="32">
        <f t="shared" si="22"/>
        <v>1.8020152030479866</v>
      </c>
      <c r="CH46" s="3">
        <f>2061887.36-41734.92</f>
        <v>2020152.4400000002</v>
      </c>
      <c r="CJ46" s="225">
        <f t="shared" si="23"/>
        <v>10137837</v>
      </c>
      <c r="CK46" s="3">
        <f t="shared" si="23"/>
        <v>30146415.569999997</v>
      </c>
      <c r="CL46" s="3">
        <f>+F46+M46+T46+AA46+AH46+AO46+AV46+BC46+BJ46+BQ46+BX46</f>
        <v>19486740.159999996</v>
      </c>
      <c r="CM46" s="32">
        <f t="shared" si="25"/>
        <v>2.9736536077666269</v>
      </c>
      <c r="CO46" s="3">
        <f t="shared" si="26"/>
        <v>11605361.949999999</v>
      </c>
      <c r="CQ46" s="3">
        <v>10137837</v>
      </c>
      <c r="CR46" s="3">
        <f>+E46+L46+S46+Z46+AG46+AN46+AU46+BB46+BI46+BP46+BW46+CD46</f>
        <v>30146415.569999997</v>
      </c>
      <c r="CS46" s="3">
        <f>CR46-CQ46</f>
        <v>20008578.569999997</v>
      </c>
      <c r="CT46" s="32">
        <f t="shared" si="29"/>
        <v>2.9736536077666269</v>
      </c>
      <c r="CV46" s="3">
        <f>+I46+P46+W46+AD46+AK46+AR46+AY46+BF46+BM46+BT46+CA46+CH46</f>
        <v>12947866.130000001</v>
      </c>
      <c r="CX46" s="3">
        <f t="shared" si="31"/>
        <v>1932305</v>
      </c>
      <c r="CY46" s="3">
        <f t="shared" si="32"/>
        <v>1932305</v>
      </c>
      <c r="CZ46" s="3">
        <f t="shared" si="33"/>
        <v>2222150.75</v>
      </c>
      <c r="DA46" s="3">
        <f t="shared" si="34"/>
        <v>32368566.319999997</v>
      </c>
    </row>
    <row r="47" spans="1:105" s="245" customFormat="1" ht="14.25" customHeight="1" x14ac:dyDescent="0.3">
      <c r="A47" s="234"/>
      <c r="B47" s="235" t="s">
        <v>43</v>
      </c>
      <c r="C47" s="236"/>
      <c r="D47" s="237">
        <f>+D46</f>
        <v>684510</v>
      </c>
      <c r="E47" s="237">
        <f>+E46</f>
        <v>1645477.13</v>
      </c>
      <c r="F47" s="237">
        <f>+F46</f>
        <v>960967.12999999989</v>
      </c>
      <c r="G47" s="238">
        <f t="shared" si="1"/>
        <v>2.4038759550627455</v>
      </c>
      <c r="H47" s="236"/>
      <c r="I47" s="239">
        <f>+I46</f>
        <v>709768.51</v>
      </c>
      <c r="J47" s="236"/>
      <c r="K47" s="237">
        <f>+K46</f>
        <v>703849</v>
      </c>
      <c r="L47" s="237">
        <f>+L46</f>
        <v>2137409.59</v>
      </c>
      <c r="M47" s="237">
        <f>+M46</f>
        <v>1433560.5899999999</v>
      </c>
      <c r="N47" s="238">
        <f t="shared" si="2"/>
        <v>3.0367445148036012</v>
      </c>
      <c r="O47" s="236"/>
      <c r="P47" s="239">
        <f>P46</f>
        <v>740094.5</v>
      </c>
      <c r="Q47" s="236"/>
      <c r="R47" s="237">
        <f>+R46</f>
        <v>1088938</v>
      </c>
      <c r="S47" s="237">
        <f>+S46</f>
        <v>2723063.6100000003</v>
      </c>
      <c r="T47" s="237">
        <f>+T46</f>
        <v>1634125.6100000003</v>
      </c>
      <c r="U47" s="238">
        <f t="shared" si="4"/>
        <v>2.5006599181955265</v>
      </c>
      <c r="V47" s="236"/>
      <c r="W47" s="239">
        <f>+W46</f>
        <v>1167182.92</v>
      </c>
      <c r="X47" s="236"/>
      <c r="Y47" s="237">
        <f>+Y46</f>
        <v>952481</v>
      </c>
      <c r="Z47" s="237">
        <f>+Z46</f>
        <v>2952144.21</v>
      </c>
      <c r="AA47" s="237">
        <f>+AA46</f>
        <v>1999663.21</v>
      </c>
      <c r="AB47" s="238">
        <f t="shared" si="40"/>
        <v>3.099425825816998</v>
      </c>
      <c r="AC47" s="236"/>
      <c r="AD47" s="239">
        <f>+AD46</f>
        <v>1025054.8999999999</v>
      </c>
      <c r="AE47" s="236"/>
      <c r="AF47" s="237">
        <f>+AF46</f>
        <v>1082084</v>
      </c>
      <c r="AG47" s="237">
        <f>+AG46</f>
        <v>905244.43</v>
      </c>
      <c r="AH47" s="237">
        <f>+AH46</f>
        <v>-176839.56999999995</v>
      </c>
      <c r="AI47" s="238">
        <f t="shared" si="8"/>
        <v>0.83657500711589861</v>
      </c>
      <c r="AJ47" s="236"/>
      <c r="AK47" s="237">
        <f>+AK46</f>
        <v>1159312.1200000001</v>
      </c>
      <c r="AL47" s="240"/>
      <c r="AM47" s="237">
        <f>+AM46</f>
        <v>707363</v>
      </c>
      <c r="AN47" s="237">
        <f>+AN46</f>
        <v>2883913.72</v>
      </c>
      <c r="AO47" s="237">
        <f>+AO46</f>
        <v>2176550.7200000002</v>
      </c>
      <c r="AP47" s="238">
        <f t="shared" si="10"/>
        <v>4.0769926049284457</v>
      </c>
      <c r="AQ47" s="236"/>
      <c r="AR47" s="237">
        <f>+AR46</f>
        <v>739307.28</v>
      </c>
      <c r="AS47" s="236"/>
      <c r="AT47" s="237">
        <f>+AT46</f>
        <v>1204094</v>
      </c>
      <c r="AU47" s="237">
        <f>+AU46</f>
        <v>3516361.44</v>
      </c>
      <c r="AV47" s="237">
        <f>+AV46</f>
        <v>2312267.44</v>
      </c>
      <c r="AW47" s="238">
        <f t="shared" si="12"/>
        <v>2.9203379802573552</v>
      </c>
      <c r="AX47" s="236"/>
      <c r="AY47" s="237">
        <f>+AY46</f>
        <v>1279316.3800000001</v>
      </c>
      <c r="AZ47" s="236"/>
      <c r="BA47" s="237">
        <f>+BA46</f>
        <v>1149177</v>
      </c>
      <c r="BB47" s="237">
        <f>+BB46</f>
        <v>3032089.06</v>
      </c>
      <c r="BC47" s="237">
        <f>+BC46</f>
        <v>1882912.06</v>
      </c>
      <c r="BD47" s="238">
        <f t="shared" si="14"/>
        <v>2.6384874218679979</v>
      </c>
      <c r="BE47" s="236"/>
      <c r="BF47" s="237">
        <f>+BF46</f>
        <v>1218847.68</v>
      </c>
      <c r="BG47" s="236"/>
      <c r="BH47" s="237">
        <f>+BH46</f>
        <v>633036</v>
      </c>
      <c r="BI47" s="237">
        <f>+BI46</f>
        <v>2941240.87</v>
      </c>
      <c r="BJ47" s="237">
        <f>+BJ46</f>
        <v>2308204.87</v>
      </c>
      <c r="BK47" s="238">
        <f t="shared" si="16"/>
        <v>4.6462458217226192</v>
      </c>
      <c r="BL47" s="236"/>
      <c r="BM47" s="237">
        <f>+BM46</f>
        <v>1546325.22</v>
      </c>
      <c r="BN47" s="236"/>
      <c r="BO47" s="237">
        <f>+BO46</f>
        <v>731418</v>
      </c>
      <c r="BP47" s="237">
        <f>+BP46</f>
        <v>3180674.31</v>
      </c>
      <c r="BQ47" s="237">
        <f>+BQ46</f>
        <v>2449256.31</v>
      </c>
      <c r="BR47" s="238">
        <f t="shared" si="18"/>
        <v>4.3486410096552177</v>
      </c>
      <c r="BS47" s="236"/>
      <c r="BT47" s="237">
        <f>+BT46</f>
        <v>665601.1399999999</v>
      </c>
      <c r="BU47" s="236"/>
      <c r="BV47" s="237">
        <f>+BV46</f>
        <v>550228</v>
      </c>
      <c r="BW47" s="237">
        <f>+BW46</f>
        <v>3056299.79</v>
      </c>
      <c r="BX47" s="237">
        <f>+BX46</f>
        <v>2506071.79</v>
      </c>
      <c r="BY47" s="238">
        <f t="shared" si="20"/>
        <v>5.5546060723918087</v>
      </c>
      <c r="BZ47" s="236"/>
      <c r="CA47" s="237">
        <f>+CA46</f>
        <v>676903.04</v>
      </c>
      <c r="CB47" s="236"/>
      <c r="CC47" s="237">
        <f>+CC46</f>
        <v>650659</v>
      </c>
      <c r="CD47" s="237">
        <f>+CD46</f>
        <v>1172497.4099999999</v>
      </c>
      <c r="CE47" s="237">
        <f>+CE46</f>
        <v>521838.40999999992</v>
      </c>
      <c r="CF47" s="238">
        <f t="shared" si="22"/>
        <v>1.8020152030479866</v>
      </c>
      <c r="CG47" s="236"/>
      <c r="CH47" s="237">
        <f>+CH46</f>
        <v>2020152.4400000002</v>
      </c>
      <c r="CI47" s="236"/>
      <c r="CJ47" s="237">
        <f t="shared" si="23"/>
        <v>10137837</v>
      </c>
      <c r="CK47" s="237">
        <f t="shared" si="23"/>
        <v>30146415.569999997</v>
      </c>
      <c r="CL47" s="237">
        <f>+CL46</f>
        <v>19486740.159999996</v>
      </c>
      <c r="CM47" s="238">
        <f t="shared" si="25"/>
        <v>2.9736536077666269</v>
      </c>
      <c r="CN47" s="236"/>
      <c r="CO47" s="237">
        <f t="shared" si="26"/>
        <v>11605361.949999999</v>
      </c>
      <c r="CP47" s="236"/>
      <c r="CQ47" s="237">
        <f>+CQ46</f>
        <v>10137837</v>
      </c>
      <c r="CR47" s="237">
        <f>+CR46</f>
        <v>30146415.569999997</v>
      </c>
      <c r="CS47" s="237">
        <f>+CS46</f>
        <v>20008578.569999997</v>
      </c>
      <c r="CT47" s="241">
        <f t="shared" si="29"/>
        <v>2.9736536077666269</v>
      </c>
      <c r="CU47" s="242"/>
      <c r="CV47" s="237">
        <f>+CV46</f>
        <v>12947866.130000001</v>
      </c>
      <c r="CW47" s="243"/>
      <c r="CX47" s="237">
        <f t="shared" si="31"/>
        <v>1932305</v>
      </c>
      <c r="CY47" s="244">
        <f t="shared" si="32"/>
        <v>1932305</v>
      </c>
      <c r="CZ47" s="244">
        <f t="shared" si="33"/>
        <v>2222150.75</v>
      </c>
      <c r="DA47" s="244">
        <f t="shared" si="34"/>
        <v>32368566.319999997</v>
      </c>
    </row>
    <row r="48" spans="1:105" s="31" customFormat="1" ht="16.5" customHeight="1" x14ac:dyDescent="0.3">
      <c r="A48" s="29">
        <v>39</v>
      </c>
      <c r="B48" s="30" t="s">
        <v>44</v>
      </c>
      <c r="D48" s="3">
        <v>799298</v>
      </c>
      <c r="E48" s="3">
        <v>5925956.04</v>
      </c>
      <c r="F48" s="3">
        <f>E48-D48</f>
        <v>5126658.04</v>
      </c>
      <c r="G48" s="32">
        <f t="shared" si="1"/>
        <v>7.413950791819822</v>
      </c>
      <c r="I48" s="3">
        <v>1624040.38</v>
      </c>
      <c r="J48" s="221"/>
      <c r="K48" s="257">
        <v>1128948</v>
      </c>
      <c r="L48" s="222">
        <v>10462608.32</v>
      </c>
      <c r="M48" s="3">
        <f>L48-K48</f>
        <v>9333660.3200000003</v>
      </c>
      <c r="N48" s="32">
        <f t="shared" si="2"/>
        <v>9.2675732806116855</v>
      </c>
      <c r="P48" s="3">
        <f>2210873.86-22213.04</f>
        <v>2188660.8199999998</v>
      </c>
      <c r="R48" s="3">
        <v>773293</v>
      </c>
      <c r="S48" s="223">
        <v>5200636.54</v>
      </c>
      <c r="T48" s="3">
        <f>S48-R48</f>
        <v>4427343.54</v>
      </c>
      <c r="U48" s="32">
        <f t="shared" si="4"/>
        <v>6.7253118029000651</v>
      </c>
      <c r="W48" s="3">
        <f>1428465.63-125225.39</f>
        <v>1303240.24</v>
      </c>
      <c r="Y48" s="3">
        <v>588640</v>
      </c>
      <c r="Z48" s="223">
        <v>4567352.07</v>
      </c>
      <c r="AA48" s="3">
        <f>Z48-Y48</f>
        <v>3978712.0700000003</v>
      </c>
      <c r="AB48" s="32">
        <f t="shared" si="40"/>
        <v>7.7591602167708622</v>
      </c>
      <c r="AD48" s="3">
        <f>1050723-79311.66</f>
        <v>971411.34</v>
      </c>
      <c r="AF48" s="3">
        <v>616489</v>
      </c>
      <c r="AG48" s="3">
        <v>1160813.43</v>
      </c>
      <c r="AH48" s="3">
        <f>AG48-AF48</f>
        <v>544324.42999999993</v>
      </c>
      <c r="AI48" s="32">
        <f t="shared" si="8"/>
        <v>1.8829426478006905</v>
      </c>
      <c r="AK48" s="3">
        <f>1130143.98-140728.71</f>
        <v>989415.27</v>
      </c>
      <c r="AM48" s="3">
        <v>615650</v>
      </c>
      <c r="AN48" s="222">
        <v>1205025.26</v>
      </c>
      <c r="AO48" s="3">
        <f>AN48-AM48</f>
        <v>589375.26</v>
      </c>
      <c r="AP48" s="32">
        <f t="shared" si="10"/>
        <v>1.9573219524080241</v>
      </c>
      <c r="AR48" s="3">
        <f>1681875.67-453562</f>
        <v>1228313.67</v>
      </c>
      <c r="AT48" s="3">
        <v>710740</v>
      </c>
      <c r="AU48" s="3">
        <v>7592394.4400000004</v>
      </c>
      <c r="AV48" s="3">
        <f>AU48-AT48</f>
        <v>6881654.4400000004</v>
      </c>
      <c r="AW48" s="32">
        <f t="shared" si="12"/>
        <v>10.682379548076653</v>
      </c>
      <c r="AY48" s="3">
        <f>1194933.2-20123.74</f>
        <v>1174809.46</v>
      </c>
      <c r="BA48" s="3">
        <v>641030</v>
      </c>
      <c r="BB48" s="222">
        <v>1346007.44</v>
      </c>
      <c r="BC48" s="222">
        <f>BB48-BA48</f>
        <v>704977.44</v>
      </c>
      <c r="BD48" s="32">
        <f t="shared" si="14"/>
        <v>2.0997573280501691</v>
      </c>
      <c r="BF48" s="3">
        <f>1245804.7-60214.6</f>
        <v>1185590.0999999999</v>
      </c>
      <c r="BH48" s="3">
        <v>1964434</v>
      </c>
      <c r="BI48" s="222">
        <v>835720.68</v>
      </c>
      <c r="BJ48" s="222">
        <f>BI48-BH48</f>
        <v>-1128713.3199999998</v>
      </c>
      <c r="BK48" s="32">
        <f t="shared" si="16"/>
        <v>0.42542568495556482</v>
      </c>
      <c r="BM48" s="224">
        <f>2716553.35-404454.3</f>
        <v>2312099.0500000003</v>
      </c>
      <c r="BO48" s="3">
        <v>455662</v>
      </c>
      <c r="BP48" s="3">
        <v>2123906.2200000002</v>
      </c>
      <c r="BQ48" s="3">
        <f>BP48-BO48</f>
        <v>1668244.2200000002</v>
      </c>
      <c r="BR48" s="32">
        <f t="shared" si="18"/>
        <v>4.6611440497561798</v>
      </c>
      <c r="BT48" s="3">
        <f>8308476.84-888649.58</f>
        <v>7419827.2599999998</v>
      </c>
      <c r="BV48" s="3">
        <v>493559</v>
      </c>
      <c r="BW48" s="34">
        <v>1420230.02</v>
      </c>
      <c r="BX48" s="3">
        <f>BW48-BV48</f>
        <v>926671.02</v>
      </c>
      <c r="BY48" s="32">
        <f t="shared" si="20"/>
        <v>2.8775283603378723</v>
      </c>
      <c r="CA48" s="3">
        <f>14964273.93-75794.46</f>
        <v>14888479.469999999</v>
      </c>
      <c r="CC48" s="3">
        <v>503220</v>
      </c>
      <c r="CD48" s="3">
        <v>16516824.970000001</v>
      </c>
      <c r="CE48" s="3">
        <f>CD48-CC48</f>
        <v>16013604.970000001</v>
      </c>
      <c r="CF48" s="32">
        <f t="shared" si="22"/>
        <v>32.822274492269784</v>
      </c>
      <c r="CH48" s="3">
        <f>59803068.72-3496716.61</f>
        <v>56306352.109999999</v>
      </c>
      <c r="CJ48" s="225">
        <f t="shared" si="23"/>
        <v>9290963</v>
      </c>
      <c r="CK48" s="3">
        <f t="shared" si="23"/>
        <v>58357475.43</v>
      </c>
      <c r="CL48" s="3">
        <f>+F48+M48+T48+AA48+AH48+AO48+AV48+BC48+BJ48+BQ48+BX48</f>
        <v>33052907.460000001</v>
      </c>
      <c r="CM48" s="32">
        <f t="shared" si="25"/>
        <v>6.2811008320666009</v>
      </c>
      <c r="CO48" s="3">
        <f t="shared" si="26"/>
        <v>69283932.439999998</v>
      </c>
      <c r="CQ48" s="3">
        <v>9290963</v>
      </c>
      <c r="CR48" s="3">
        <f>+E48+L48+S48+Z48+AG48+AN48+AU48+BB48+BI48+BP48+BW48+CD48</f>
        <v>58357475.43</v>
      </c>
      <c r="CS48" s="3">
        <f>CR48-CQ48</f>
        <v>49066512.43</v>
      </c>
      <c r="CT48" s="32">
        <f t="shared" si="29"/>
        <v>6.2811008320666009</v>
      </c>
      <c r="CV48" s="3">
        <f>+I48+P48+W48+AD48+AK48+AR48+AY48+BF48+BM48+BT48+CA48+CH48</f>
        <v>91592239.170000002</v>
      </c>
      <c r="CX48" s="3">
        <f t="shared" si="31"/>
        <v>1452441</v>
      </c>
      <c r="CY48" s="3">
        <f t="shared" si="32"/>
        <v>1452441</v>
      </c>
      <c r="CZ48" s="3">
        <f t="shared" si="33"/>
        <v>1670307.15</v>
      </c>
      <c r="DA48" s="3">
        <f t="shared" si="34"/>
        <v>60027782.579999998</v>
      </c>
    </row>
    <row r="49" spans="1:105" s="245" customFormat="1" ht="14.25" customHeight="1" x14ac:dyDescent="0.3">
      <c r="A49" s="234"/>
      <c r="B49" s="235" t="s">
        <v>45</v>
      </c>
      <c r="C49" s="236"/>
      <c r="D49" s="237">
        <f>+D48</f>
        <v>799298</v>
      </c>
      <c r="E49" s="237">
        <f>+E48</f>
        <v>5925956.04</v>
      </c>
      <c r="F49" s="237">
        <f>+F48</f>
        <v>5126658.04</v>
      </c>
      <c r="G49" s="238">
        <f t="shared" si="1"/>
        <v>7.413950791819822</v>
      </c>
      <c r="H49" s="236"/>
      <c r="I49" s="239">
        <f>I48</f>
        <v>1624040.38</v>
      </c>
      <c r="J49" s="236"/>
      <c r="K49" s="237">
        <f>+K48</f>
        <v>1128948</v>
      </c>
      <c r="L49" s="237">
        <f>+L48</f>
        <v>10462608.32</v>
      </c>
      <c r="M49" s="237">
        <f>+M48</f>
        <v>9333660.3200000003</v>
      </c>
      <c r="N49" s="238">
        <f t="shared" si="2"/>
        <v>9.2675732806116855</v>
      </c>
      <c r="O49" s="236"/>
      <c r="P49" s="239">
        <f>+P48</f>
        <v>2188660.8199999998</v>
      </c>
      <c r="Q49" s="236"/>
      <c r="R49" s="237">
        <f>+R48</f>
        <v>773293</v>
      </c>
      <c r="S49" s="237">
        <f>+S48</f>
        <v>5200636.54</v>
      </c>
      <c r="T49" s="237">
        <f>+T48</f>
        <v>4427343.54</v>
      </c>
      <c r="U49" s="238">
        <f t="shared" si="4"/>
        <v>6.7253118029000651</v>
      </c>
      <c r="V49" s="236"/>
      <c r="W49" s="239">
        <f>+W48</f>
        <v>1303240.24</v>
      </c>
      <c r="X49" s="236"/>
      <c r="Y49" s="237">
        <f>+Y48</f>
        <v>588640</v>
      </c>
      <c r="Z49" s="237">
        <f>+Z48</f>
        <v>4567352.07</v>
      </c>
      <c r="AA49" s="237">
        <f>+AA48</f>
        <v>3978712.0700000003</v>
      </c>
      <c r="AB49" s="238">
        <f t="shared" si="40"/>
        <v>7.7591602167708622</v>
      </c>
      <c r="AC49" s="236"/>
      <c r="AD49" s="239">
        <f>+AD48</f>
        <v>971411.34</v>
      </c>
      <c r="AE49" s="236"/>
      <c r="AF49" s="237">
        <f>+AF48</f>
        <v>616489</v>
      </c>
      <c r="AG49" s="237">
        <f>+AG48</f>
        <v>1160813.43</v>
      </c>
      <c r="AH49" s="237">
        <f>+AH48</f>
        <v>544324.42999999993</v>
      </c>
      <c r="AI49" s="238">
        <f t="shared" si="8"/>
        <v>1.8829426478006905</v>
      </c>
      <c r="AJ49" s="236"/>
      <c r="AK49" s="237">
        <f>+AK48</f>
        <v>989415.27</v>
      </c>
      <c r="AL49" s="240"/>
      <c r="AM49" s="237">
        <f>+AM48</f>
        <v>615650</v>
      </c>
      <c r="AN49" s="237">
        <f>+AN48</f>
        <v>1205025.26</v>
      </c>
      <c r="AO49" s="237">
        <f>+AO48</f>
        <v>589375.26</v>
      </c>
      <c r="AP49" s="238">
        <f t="shared" si="10"/>
        <v>1.9573219524080241</v>
      </c>
      <c r="AQ49" s="236"/>
      <c r="AR49" s="237">
        <f>+AR48</f>
        <v>1228313.67</v>
      </c>
      <c r="AS49" s="236"/>
      <c r="AT49" s="237">
        <f>+AT48</f>
        <v>710740</v>
      </c>
      <c r="AU49" s="237">
        <f>+AU48</f>
        <v>7592394.4400000004</v>
      </c>
      <c r="AV49" s="237">
        <f>+AV48</f>
        <v>6881654.4400000004</v>
      </c>
      <c r="AW49" s="238">
        <f t="shared" si="12"/>
        <v>10.682379548076653</v>
      </c>
      <c r="AX49" s="236"/>
      <c r="AY49" s="237">
        <f>AY48</f>
        <v>1174809.46</v>
      </c>
      <c r="AZ49" s="236"/>
      <c r="BA49" s="237">
        <f>+BA48</f>
        <v>641030</v>
      </c>
      <c r="BB49" s="237">
        <f>+BB48</f>
        <v>1346007.44</v>
      </c>
      <c r="BC49" s="237">
        <f>+BC48</f>
        <v>704977.44</v>
      </c>
      <c r="BD49" s="238">
        <f t="shared" si="14"/>
        <v>2.0997573280501691</v>
      </c>
      <c r="BE49" s="236"/>
      <c r="BF49" s="237">
        <f>+BF48</f>
        <v>1185590.0999999999</v>
      </c>
      <c r="BG49" s="236"/>
      <c r="BH49" s="237">
        <f>+BH48</f>
        <v>1964434</v>
      </c>
      <c r="BI49" s="237">
        <f>+BI48</f>
        <v>835720.68</v>
      </c>
      <c r="BJ49" s="237">
        <f>+BJ48</f>
        <v>-1128713.3199999998</v>
      </c>
      <c r="BK49" s="238">
        <f t="shared" si="16"/>
        <v>0.42542568495556482</v>
      </c>
      <c r="BL49" s="236"/>
      <c r="BM49" s="237">
        <f>+BM48</f>
        <v>2312099.0500000003</v>
      </c>
      <c r="BN49" s="236"/>
      <c r="BO49" s="237">
        <f>+BO48</f>
        <v>455662</v>
      </c>
      <c r="BP49" s="237">
        <f>+BP48</f>
        <v>2123906.2200000002</v>
      </c>
      <c r="BQ49" s="237">
        <f>+BQ48</f>
        <v>1668244.2200000002</v>
      </c>
      <c r="BR49" s="238">
        <f t="shared" si="18"/>
        <v>4.6611440497561798</v>
      </c>
      <c r="BS49" s="236"/>
      <c r="BT49" s="237">
        <f>+BT48</f>
        <v>7419827.2599999998</v>
      </c>
      <c r="BU49" s="236"/>
      <c r="BV49" s="237">
        <f>+BV48</f>
        <v>493559</v>
      </c>
      <c r="BW49" s="237">
        <f>+BW48</f>
        <v>1420230.02</v>
      </c>
      <c r="BX49" s="237">
        <f>+BX48</f>
        <v>926671.02</v>
      </c>
      <c r="BY49" s="238">
        <f t="shared" si="20"/>
        <v>2.8775283603378723</v>
      </c>
      <c r="BZ49" s="236"/>
      <c r="CA49" s="237">
        <f>+CA48</f>
        <v>14888479.469999999</v>
      </c>
      <c r="CB49" s="236"/>
      <c r="CC49" s="237">
        <f>+CC48</f>
        <v>503220</v>
      </c>
      <c r="CD49" s="237">
        <f>+CD48</f>
        <v>16516824.970000001</v>
      </c>
      <c r="CE49" s="237">
        <f>+CE48</f>
        <v>16013604.970000001</v>
      </c>
      <c r="CF49" s="238">
        <f t="shared" si="22"/>
        <v>32.822274492269784</v>
      </c>
      <c r="CG49" s="236"/>
      <c r="CH49" s="237">
        <f>SUM(CH48:CH48)</f>
        <v>56306352.109999999</v>
      </c>
      <c r="CI49" s="236"/>
      <c r="CJ49" s="237">
        <f t="shared" si="23"/>
        <v>9290963</v>
      </c>
      <c r="CK49" s="237">
        <f t="shared" si="23"/>
        <v>58357475.43</v>
      </c>
      <c r="CL49" s="237">
        <f>+CL48</f>
        <v>33052907.460000001</v>
      </c>
      <c r="CM49" s="238">
        <f t="shared" si="25"/>
        <v>6.2811008320666009</v>
      </c>
      <c r="CN49" s="236"/>
      <c r="CO49" s="237">
        <f t="shared" si="26"/>
        <v>69283932.439999998</v>
      </c>
      <c r="CP49" s="236"/>
      <c r="CQ49" s="237">
        <f>+CQ48</f>
        <v>9290963</v>
      </c>
      <c r="CR49" s="237">
        <f>+CR48</f>
        <v>58357475.43</v>
      </c>
      <c r="CS49" s="237">
        <f>+CS48</f>
        <v>49066512.43</v>
      </c>
      <c r="CT49" s="241">
        <f t="shared" si="29"/>
        <v>6.2811008320666009</v>
      </c>
      <c r="CU49" s="242"/>
      <c r="CV49" s="237">
        <f>+CV48</f>
        <v>91592239.170000002</v>
      </c>
      <c r="CW49" s="243"/>
      <c r="CX49" s="237">
        <f t="shared" si="31"/>
        <v>1452441</v>
      </c>
      <c r="CY49" s="244">
        <f t="shared" si="32"/>
        <v>1452441</v>
      </c>
      <c r="CZ49" s="244">
        <f t="shared" si="33"/>
        <v>1670307.15</v>
      </c>
      <c r="DA49" s="244">
        <f t="shared" si="34"/>
        <v>60027782.579999998</v>
      </c>
    </row>
    <row r="50" spans="1:105" s="31" customFormat="1" ht="16.5" customHeight="1" x14ac:dyDescent="0.3">
      <c r="A50" s="47"/>
      <c r="B50" s="48" t="s">
        <v>46</v>
      </c>
      <c r="D50" s="11">
        <f>D49+D47+D45+D22+D18</f>
        <v>132208794</v>
      </c>
      <c r="E50" s="11">
        <f>E49+E47+E45+E22+E18</f>
        <v>173116371.91000003</v>
      </c>
      <c r="F50" s="11">
        <f>E50-D50</f>
        <v>40907577.910000026</v>
      </c>
      <c r="G50" s="49">
        <f t="shared" si="1"/>
        <v>1.3094164667291348</v>
      </c>
      <c r="I50" s="11">
        <f>I49+I47+I45+I22+I18</f>
        <v>150937453.15999997</v>
      </c>
      <c r="J50" s="221"/>
      <c r="K50" s="8">
        <f>K49+K47+K45+K22+K18</f>
        <v>36796868</v>
      </c>
      <c r="L50" s="258">
        <f>L49+L47+L45+L22+L18</f>
        <v>62932633.079999991</v>
      </c>
      <c r="M50" s="11">
        <f t="shared" ref="M50:M61" si="57">L50-K50</f>
        <v>26135765.079999991</v>
      </c>
      <c r="N50" s="49">
        <f t="shared" si="2"/>
        <v>1.710271457886035</v>
      </c>
      <c r="O50" s="259"/>
      <c r="P50" s="11">
        <f>+P18+P22+P45+P47+P49</f>
        <v>42804440.119999997</v>
      </c>
      <c r="R50" s="11">
        <f>R49+R47+R45+R22+R18</f>
        <v>32898802</v>
      </c>
      <c r="S50" s="260">
        <f>S49+S47+S45+S22+S18</f>
        <v>57784400.449999996</v>
      </c>
      <c r="T50" s="11">
        <f>S50-R50</f>
        <v>24885598.449999996</v>
      </c>
      <c r="U50" s="49">
        <f t="shared" si="4"/>
        <v>1.7564287128145273</v>
      </c>
      <c r="W50" s="11">
        <f>+W18+W22+W45+W47+W49</f>
        <v>36145370.960000001</v>
      </c>
      <c r="Y50" s="11">
        <f>Y49+Y47+Y45+Y22+Y18</f>
        <v>33468648</v>
      </c>
      <c r="Z50" s="260">
        <f>Z49+Z47+Z45+Z22+Z18</f>
        <v>66705063.280000001</v>
      </c>
      <c r="AA50" s="11">
        <f>Z50-Y50</f>
        <v>33236415.280000001</v>
      </c>
      <c r="AB50" s="49">
        <f t="shared" si="40"/>
        <v>1.9930611860987035</v>
      </c>
      <c r="AD50" s="11">
        <f>+AD18+AD22+AD45+AD47+AD49</f>
        <v>39230898.990000002</v>
      </c>
      <c r="AE50" s="126">
        <f>38309588.65-AD50</f>
        <v>-921310.34000000358</v>
      </c>
      <c r="AF50" s="11">
        <f>AF49+AF47+AF45+AF22+AF18</f>
        <v>36978266</v>
      </c>
      <c r="AG50" s="11">
        <f>AG49+AG47+AG45+AG22+AG18</f>
        <v>57837659.68</v>
      </c>
      <c r="AH50" s="11">
        <f>AG50-AF50</f>
        <v>20859393.68</v>
      </c>
      <c r="AI50" s="49">
        <f t="shared" si="8"/>
        <v>1.5640987514125189</v>
      </c>
      <c r="AK50" s="11">
        <f>+AK18+AK22+AK45+AK47+AK49</f>
        <v>42392380.169999994</v>
      </c>
      <c r="AM50" s="11">
        <f>AM49+AM47+AM45+AM22+AM18</f>
        <v>41699728</v>
      </c>
      <c r="AN50" s="260">
        <f>AN49+AN47+AN45+AN22+AN18</f>
        <v>50993012.759999998</v>
      </c>
      <c r="AO50" s="11">
        <f>AN50-AM50</f>
        <v>9293284.7599999979</v>
      </c>
      <c r="AP50" s="49">
        <f t="shared" si="10"/>
        <v>1.2228619994835457</v>
      </c>
      <c r="AR50" s="11">
        <f>+AR18+AR22+AR45+AR47+AR49</f>
        <v>60653632.530000001</v>
      </c>
      <c r="AT50" s="11">
        <f>AT49+AT47+AT45+AT22+AT18</f>
        <v>40361878</v>
      </c>
      <c r="AU50" s="11">
        <f>AU49+AU47+AU45+AU22+AU18</f>
        <v>53786365.799999997</v>
      </c>
      <c r="AV50" s="11">
        <f>AU50-AT50</f>
        <v>13424487.799999997</v>
      </c>
      <c r="AW50" s="49">
        <f t="shared" si="12"/>
        <v>1.3326031509237504</v>
      </c>
      <c r="AY50" s="11">
        <f>+AY18+AY22+AY45+AY47+AY49</f>
        <v>44933178.380000003</v>
      </c>
      <c r="BA50" s="11">
        <f>BA49+BA47+BA45+BA22+BA18</f>
        <v>31828391</v>
      </c>
      <c r="BB50" s="260">
        <f>BB49+BB47+BB45+BB22+BB18</f>
        <v>55975233.800000004</v>
      </c>
      <c r="BC50" s="260">
        <f>BB50-BA50</f>
        <v>24146842.800000004</v>
      </c>
      <c r="BD50" s="49">
        <f t="shared" si="14"/>
        <v>1.7586573509166707</v>
      </c>
      <c r="BF50" s="11">
        <f>+BF18+BF22+BF45+BF47+BF49</f>
        <v>34850674.880000003</v>
      </c>
      <c r="BH50" s="11">
        <f>BH49+BH47+BH45+BH22+BH18</f>
        <v>40923495</v>
      </c>
      <c r="BI50" s="260">
        <f>BI49+BI47+BI45+BI22+BI18</f>
        <v>49681359.079999998</v>
      </c>
      <c r="BJ50" s="260">
        <f>BI50-BH50</f>
        <v>8757864.0799999982</v>
      </c>
      <c r="BK50" s="49">
        <f t="shared" si="16"/>
        <v>1.2140057705237541</v>
      </c>
      <c r="BM50" s="11">
        <f>+BM18+BM22+BM45+BM47+BM49</f>
        <v>47973902.219999999</v>
      </c>
      <c r="BN50" s="229"/>
      <c r="BO50" s="11">
        <f>BO49+BO47+BO45+BO22+BO18</f>
        <v>40454016</v>
      </c>
      <c r="BP50" s="11">
        <f>BP49+BP47+BP45+BP22+BP18</f>
        <v>66962167.060000002</v>
      </c>
      <c r="BQ50" s="11">
        <f>BP50-BO50</f>
        <v>26508151.060000002</v>
      </c>
      <c r="BR50" s="49">
        <f t="shared" si="18"/>
        <v>1.6552662425406666</v>
      </c>
      <c r="BT50" s="11">
        <f>+BT18+BT22+BT45+BT47+BT49</f>
        <v>46931200.199999996</v>
      </c>
      <c r="BV50" s="11">
        <f>BV49+BV47+BV45+BV22+BV18</f>
        <v>33069099</v>
      </c>
      <c r="BW50" s="261">
        <f>BW49+BW47+BW45+BW22+BW18</f>
        <v>52111051.799999997</v>
      </c>
      <c r="BX50" s="11">
        <f>BW50-BV50</f>
        <v>19041952.799999997</v>
      </c>
      <c r="BY50" s="49">
        <f t="shared" si="20"/>
        <v>1.575823151395809</v>
      </c>
      <c r="CA50" s="11">
        <f>+CA18+CA22+CA45+CA47+CA49</f>
        <v>62147647.340000004</v>
      </c>
      <c r="CC50" s="11">
        <f>CC49+CC47+CC45+CC22+CC18</f>
        <v>48311553</v>
      </c>
      <c r="CD50" s="11">
        <f>CD49+CD47+CD45+CD22+CD18</f>
        <v>77765418.25999999</v>
      </c>
      <c r="CE50" s="11">
        <f>CD50-CC50</f>
        <v>29453865.25999999</v>
      </c>
      <c r="CF50" s="49">
        <f t="shared" si="22"/>
        <v>1.6096650476129382</v>
      </c>
      <c r="CH50" s="8">
        <f>+CH18+CH22+CH45+CH47+CH49</f>
        <v>106528850.96000001</v>
      </c>
      <c r="CJ50" s="262">
        <f>+D50+K50+R50+Y50+AF50+AM50+AT50+BA50+BH50+BO50+BV50+CC50</f>
        <v>548999538</v>
      </c>
      <c r="CK50" s="11">
        <f>CK49+CK47+CK45+CK22+CK18</f>
        <v>825650736.96000004</v>
      </c>
      <c r="CL50" s="11">
        <f>CK50-CJ50</f>
        <v>276651198.96000004</v>
      </c>
      <c r="CM50" s="49">
        <f t="shared" si="25"/>
        <v>1.5039188192540884</v>
      </c>
      <c r="CO50" s="11">
        <f t="shared" si="26"/>
        <v>606450782.37</v>
      </c>
      <c r="CQ50" s="11">
        <v>548999538</v>
      </c>
      <c r="CR50" s="11">
        <f>+E50+L50+S50+Z50+AG50+AN50+AU50+BB50+BI50+BP50+BW50+CD50</f>
        <v>825650736.96000004</v>
      </c>
      <c r="CS50" s="11">
        <f>CR50-CQ50</f>
        <v>276651198.96000004</v>
      </c>
      <c r="CT50" s="49">
        <f t="shared" si="29"/>
        <v>1.5039188192540884</v>
      </c>
      <c r="CU50" s="51"/>
      <c r="CV50" s="11">
        <f>+I50+P50+W50+AD50+AK50+AR50+AY50+BF50+BM50+BT50+CA50+CH50</f>
        <v>715529629.91000009</v>
      </c>
      <c r="CX50" s="11">
        <f t="shared" si="31"/>
        <v>121834668</v>
      </c>
      <c r="CY50" s="11">
        <f t="shared" si="32"/>
        <v>121834668</v>
      </c>
      <c r="CZ50" s="11">
        <f t="shared" si="33"/>
        <v>140109868.19999999</v>
      </c>
      <c r="DA50" s="11">
        <f t="shared" si="34"/>
        <v>965760605.16000009</v>
      </c>
    </row>
    <row r="51" spans="1:105" s="26" customFormat="1" ht="16.5" customHeight="1" x14ac:dyDescent="0.3">
      <c r="A51" s="35">
        <v>43</v>
      </c>
      <c r="B51" s="36" t="s">
        <v>47</v>
      </c>
      <c r="D51" s="5">
        <f>+D52+D53+D54+D55+D56+D57+D58+D59+D60+D61</f>
        <v>18593169</v>
      </c>
      <c r="E51" s="5">
        <f>+E52+E53+E54+E55+E56+E57+E58+E59+E60+E61</f>
        <v>25420483</v>
      </c>
      <c r="F51" s="5">
        <f>+F52+F53+F54+F55+F56+F57+F58+F59+F60+F61</f>
        <v>6827314</v>
      </c>
      <c r="G51" s="263">
        <v>1.3672</v>
      </c>
      <c r="I51" s="5">
        <f>+I52+I53+I54+I55+I56+I57+I58+I59+I60+I61</f>
        <v>15890471</v>
      </c>
      <c r="J51" s="218"/>
      <c r="K51" s="5">
        <f>+K52+K53+K54+K55+K56+K57+K58+K59+K60+K61</f>
        <v>23720681</v>
      </c>
      <c r="L51" s="227">
        <f>+L52+L53+L54+L55+L56+L57+L58+L59+L60+L61</f>
        <v>28522865</v>
      </c>
      <c r="M51" s="5">
        <f t="shared" si="57"/>
        <v>4802184</v>
      </c>
      <c r="N51" s="37">
        <f t="shared" si="2"/>
        <v>1.202447138849007</v>
      </c>
      <c r="P51" s="5">
        <f>SUM(P52:P61)</f>
        <v>28772785</v>
      </c>
      <c r="R51" s="5"/>
      <c r="S51" s="227"/>
      <c r="T51" s="5"/>
      <c r="U51" s="263"/>
      <c r="W51" s="5">
        <f>SUM(W52:W61)</f>
        <v>18559577</v>
      </c>
      <c r="Y51" s="5"/>
      <c r="Z51" s="227"/>
      <c r="AA51" s="5"/>
      <c r="AB51" s="263"/>
      <c r="AD51" s="5">
        <f>SUM(AD52:AD61)</f>
        <v>25663506</v>
      </c>
      <c r="AF51" s="5"/>
      <c r="AG51" s="5"/>
      <c r="AH51" s="5"/>
      <c r="AI51" s="37"/>
      <c r="AK51" s="5">
        <f>SUM(AK52:AK61)</f>
        <v>23580224</v>
      </c>
      <c r="AM51" s="5"/>
      <c r="AN51" s="227"/>
      <c r="AO51" s="5"/>
      <c r="AP51" s="37"/>
      <c r="AR51" s="5">
        <f>SUM(AR52:AR61)</f>
        <v>23074699</v>
      </c>
      <c r="AT51" s="5"/>
      <c r="AU51" s="5"/>
      <c r="AV51" s="5"/>
      <c r="AW51" s="37"/>
      <c r="AY51" s="5">
        <f>SUM(AY52:AY61)</f>
        <v>22176852</v>
      </c>
      <c r="BA51" s="5"/>
      <c r="BB51" s="227"/>
      <c r="BC51" s="227"/>
      <c r="BD51" s="37"/>
      <c r="BF51" s="5">
        <f>22740965-2787880</f>
        <v>19953085</v>
      </c>
      <c r="BH51" s="5"/>
      <c r="BI51" s="227"/>
      <c r="BJ51" s="227"/>
      <c r="BK51" s="37"/>
      <c r="BM51" s="5">
        <f>SUM(BM52:BM61)</f>
        <v>18624739</v>
      </c>
      <c r="BO51" s="5"/>
      <c r="BP51" s="5"/>
      <c r="BQ51" s="5"/>
      <c r="BR51" s="37"/>
      <c r="BT51" s="5">
        <f>SUM(BT52:BT61)</f>
        <v>18400055</v>
      </c>
      <c r="BV51" s="5"/>
      <c r="BW51" s="5"/>
      <c r="BX51" s="5"/>
      <c r="BY51" s="37"/>
      <c r="CA51" s="5">
        <f>SUM(CA52:CA61)</f>
        <v>20790235</v>
      </c>
      <c r="CC51" s="5">
        <f>+CC52+CC53+CC54+CC55+CC56+CC57+CC58+CC59+CC60+CC61</f>
        <v>20020579</v>
      </c>
      <c r="CD51" s="5">
        <f>SUM(CD52:CD61)</f>
        <v>25053890</v>
      </c>
      <c r="CE51" s="5">
        <f t="shared" ref="CE51:CE61" si="58">+CD51-CC51</f>
        <v>5033311</v>
      </c>
      <c r="CF51" s="37"/>
      <c r="CH51" s="5"/>
      <c r="CJ51" s="228"/>
      <c r="CK51" s="5"/>
      <c r="CL51" s="5"/>
      <c r="CM51" s="37"/>
      <c r="CO51" s="5">
        <f t="shared" si="26"/>
        <v>196295938</v>
      </c>
      <c r="CQ51" s="5"/>
      <c r="CR51" s="5"/>
      <c r="CS51" s="5"/>
      <c r="CT51" s="37"/>
      <c r="CV51" s="5"/>
      <c r="CX51" s="5">
        <f t="shared" si="31"/>
        <v>20020579</v>
      </c>
      <c r="CY51" s="5">
        <f t="shared" si="32"/>
        <v>20020579</v>
      </c>
      <c r="CZ51" s="5">
        <f t="shared" si="33"/>
        <v>23023665.849999998</v>
      </c>
      <c r="DA51" s="5">
        <f t="shared" si="34"/>
        <v>23023665.849999998</v>
      </c>
    </row>
    <row r="52" spans="1:105" s="26" customFormat="1" ht="16.5" customHeight="1" x14ac:dyDescent="0.3">
      <c r="A52" s="29"/>
      <c r="B52" s="30" t="s">
        <v>48</v>
      </c>
      <c r="D52" s="3">
        <v>10282169</v>
      </c>
      <c r="E52" s="3">
        <v>12805962</v>
      </c>
      <c r="F52" s="3">
        <f t="shared" ref="F52:F61" si="59">E52-D52</f>
        <v>2523793</v>
      </c>
      <c r="G52" s="32">
        <f t="shared" ref="G52:G62" si="60">IFERROR(E52/D52,0)</f>
        <v>1.245453366891752</v>
      </c>
      <c r="I52" s="3">
        <v>10023159</v>
      </c>
      <c r="J52" s="218"/>
      <c r="K52" s="33">
        <v>12780782</v>
      </c>
      <c r="L52" s="222">
        <v>15965478</v>
      </c>
      <c r="M52" s="3">
        <f t="shared" si="57"/>
        <v>3184696</v>
      </c>
      <c r="N52" s="32">
        <f t="shared" si="2"/>
        <v>1.2491784931469765</v>
      </c>
      <c r="P52" s="3">
        <f>13308572-862352</f>
        <v>12446220</v>
      </c>
      <c r="R52" s="3">
        <v>10691033</v>
      </c>
      <c r="S52" s="223">
        <v>12780284</v>
      </c>
      <c r="T52" s="3">
        <f t="shared" ref="T52:T61" si="61">S52-R52</f>
        <v>2089251</v>
      </c>
      <c r="U52" s="32">
        <f t="shared" ref="U52:U69" si="62">IFERROR(S52/R52,0)</f>
        <v>1.1954208728005984</v>
      </c>
      <c r="W52" s="3">
        <v>10410599</v>
      </c>
      <c r="Y52" s="3">
        <v>18550305</v>
      </c>
      <c r="Z52" s="223">
        <v>14222776</v>
      </c>
      <c r="AA52" s="3">
        <f t="shared" ref="AA52:AA61" si="63">Z52-Y52</f>
        <v>-4327529</v>
      </c>
      <c r="AB52" s="32">
        <f t="shared" ref="AB52:AB62" si="64">IFERROR(Z52/Y52,0)</f>
        <v>0.76671386265616659</v>
      </c>
      <c r="AD52" s="3">
        <f>29525050-11463292</f>
        <v>18061758</v>
      </c>
      <c r="AF52" s="3">
        <v>13598509</v>
      </c>
      <c r="AG52" s="3">
        <v>16383721</v>
      </c>
      <c r="AH52" s="3">
        <f t="shared" ref="AH52:AH61" si="65">AG52-AF52</f>
        <v>2785212</v>
      </c>
      <c r="AI52" s="32">
        <f t="shared" ref="AI52:AI62" si="66">IFERROR(AG52/AF52,0)</f>
        <v>1.2048174546194734</v>
      </c>
      <c r="AK52" s="3">
        <v>13248013</v>
      </c>
      <c r="AM52" s="3">
        <v>14734243</v>
      </c>
      <c r="AN52" s="222">
        <v>16110178</v>
      </c>
      <c r="AO52" s="3">
        <f t="shared" ref="AO52:AO61" si="67">AN52-AM52</f>
        <v>1375935</v>
      </c>
      <c r="AP52" s="32">
        <f t="shared" ref="AP52:AP69" si="68">IFERROR(AN52/AM52,0)</f>
        <v>1.0933834877027615</v>
      </c>
      <c r="AR52" s="3">
        <v>14359103</v>
      </c>
      <c r="AT52" s="3">
        <v>12826211</v>
      </c>
      <c r="AU52" s="3">
        <v>13151261</v>
      </c>
      <c r="AV52" s="3">
        <f t="shared" ref="AV52:AV61" si="69">AU52-AT52</f>
        <v>325050</v>
      </c>
      <c r="AW52" s="32">
        <f t="shared" ref="AW52:AW70" si="70">IFERROR(AU52/AT52,0)</f>
        <v>1.0253426362625719</v>
      </c>
      <c r="AY52" s="3">
        <f>21702235-9216182</f>
        <v>12486053</v>
      </c>
      <c r="BA52" s="3">
        <v>13674225</v>
      </c>
      <c r="BB52" s="222">
        <v>14643735</v>
      </c>
      <c r="BC52" s="222">
        <f t="shared" ref="BC52:BC61" si="71">BB52-BA52</f>
        <v>969510</v>
      </c>
      <c r="BD52" s="32">
        <f t="shared" ref="BD52:BD62" si="72">IFERROR(BB52/BA52,0)</f>
        <v>1.070900544637813</v>
      </c>
      <c r="BF52" s="3">
        <v>13313462</v>
      </c>
      <c r="BH52" s="3">
        <v>11523904</v>
      </c>
      <c r="BI52" s="222">
        <v>13043963</v>
      </c>
      <c r="BJ52" s="222">
        <f t="shared" ref="BJ52:BJ61" si="73">BI52-BH52</f>
        <v>1520059</v>
      </c>
      <c r="BK52" s="32">
        <f t="shared" ref="BK52:BK62" si="74">IFERROR(BI52/BH52,0)</f>
        <v>1.1319048648791243</v>
      </c>
      <c r="BM52" s="3">
        <v>11230743</v>
      </c>
      <c r="BO52" s="3">
        <v>10388171</v>
      </c>
      <c r="BP52" s="3">
        <v>9782971</v>
      </c>
      <c r="BQ52" s="3">
        <f t="shared" ref="BQ52:BQ61" si="75">BP52-BO52</f>
        <v>-605200</v>
      </c>
      <c r="BR52" s="32">
        <f t="shared" ref="BR52:BR62" si="76">IFERROR(BP52/BO52,0)</f>
        <v>0.94174142878472067</v>
      </c>
      <c r="BT52" s="3">
        <f>11969942-1855729</f>
        <v>10114213</v>
      </c>
      <c r="BV52" s="3">
        <v>11508761</v>
      </c>
      <c r="BW52" s="34">
        <v>11308508</v>
      </c>
      <c r="BX52" s="3">
        <f t="shared" ref="BX52:BX61" si="77">BW52-BV52</f>
        <v>-200253</v>
      </c>
      <c r="BY52" s="32">
        <f t="shared" ref="BY52:BY62" si="78">IFERROR(BW52/BV52,0)</f>
        <v>0.98259995146306367</v>
      </c>
      <c r="CA52" s="3">
        <f>11211446</f>
        <v>11211446</v>
      </c>
      <c r="CC52" s="3">
        <v>10872753</v>
      </c>
      <c r="CD52" s="3">
        <v>11992030</v>
      </c>
      <c r="CE52" s="9">
        <f t="shared" si="58"/>
        <v>1119277</v>
      </c>
      <c r="CF52" s="32">
        <f t="shared" ref="CF52:CF62" si="79">IFERROR(CD52/CC52,0)</f>
        <v>1.1029432932027428</v>
      </c>
      <c r="CH52" s="3">
        <v>11830760</v>
      </c>
      <c r="CJ52" s="225">
        <f t="shared" ref="CJ52:CK61" si="80">+D52+K52+R52+Y52+AF52+AM52+AT52+BA52+BH52+BO52+BV52+CC52</f>
        <v>151431066</v>
      </c>
      <c r="CK52" s="3">
        <f t="shared" si="80"/>
        <v>162190867</v>
      </c>
      <c r="CL52" s="3">
        <f t="shared" ref="CL52:CL61" si="81">+F52+M52+T52+AA52+AH52+AO52+AV52+BC52+BJ52+BQ52+BX52</f>
        <v>9640524</v>
      </c>
      <c r="CM52" s="32">
        <f t="shared" ref="CM52:CM62" si="82">IFERROR(CK52/CJ52,0)</f>
        <v>1.0710541191065774</v>
      </c>
      <c r="CO52" s="3">
        <f t="shared" si="26"/>
        <v>127409870</v>
      </c>
      <c r="CQ52" s="3">
        <v>151431066</v>
      </c>
      <c r="CR52" s="3">
        <f t="shared" ref="CR52:CR61" si="83">+E52+L52+S52+Z52+AG52+AN52+AU52+BB52+BI52+BP52+BW52+CD52</f>
        <v>162190867</v>
      </c>
      <c r="CS52" s="9">
        <f t="shared" ref="CS52:CS61" si="84">+CR52-CQ52</f>
        <v>10759801</v>
      </c>
      <c r="CT52" s="32">
        <f t="shared" ref="CT52:CT62" si="85">IFERROR(CR52/CQ52,0)</f>
        <v>1.0710541191065774</v>
      </c>
      <c r="CV52" s="3">
        <f t="shared" ref="CV52:CV61" si="86">+I52+P52+W52+AD52+AK52+AR52+AY52+BF52+BM52+BT52+CA52+CH52</f>
        <v>148735529</v>
      </c>
      <c r="CX52" s="3">
        <f t="shared" si="31"/>
        <v>32769685</v>
      </c>
      <c r="CY52" s="3">
        <f t="shared" si="32"/>
        <v>32769685</v>
      </c>
      <c r="CZ52" s="3">
        <f t="shared" ref="CZ52:CZ66" si="87">CY52</f>
        <v>32769685</v>
      </c>
      <c r="DA52" s="3">
        <f t="shared" si="34"/>
        <v>194960552</v>
      </c>
    </row>
    <row r="53" spans="1:105" s="26" customFormat="1" ht="16.5" customHeight="1" x14ac:dyDescent="0.3">
      <c r="A53" s="29"/>
      <c r="B53" s="30" t="s">
        <v>49</v>
      </c>
      <c r="D53" s="3">
        <v>3763151</v>
      </c>
      <c r="E53" s="3">
        <v>4197877</v>
      </c>
      <c r="F53" s="3">
        <f t="shared" si="59"/>
        <v>434726</v>
      </c>
      <c r="G53" s="32">
        <f t="shared" si="60"/>
        <v>1.1155218060609313</v>
      </c>
      <c r="I53" s="3">
        <v>3651597</v>
      </c>
      <c r="J53" s="218"/>
      <c r="K53" s="33">
        <v>4172299</v>
      </c>
      <c r="L53" s="222">
        <v>4708230</v>
      </c>
      <c r="M53" s="3">
        <f t="shared" si="57"/>
        <v>535931</v>
      </c>
      <c r="N53" s="32">
        <f t="shared" si="2"/>
        <v>1.1284498066893096</v>
      </c>
      <c r="P53" s="3">
        <f>4310702-259083</f>
        <v>4051619</v>
      </c>
      <c r="R53" s="3">
        <v>3904585</v>
      </c>
      <c r="S53" s="223">
        <v>4199618</v>
      </c>
      <c r="T53" s="3">
        <f t="shared" si="61"/>
        <v>295033</v>
      </c>
      <c r="U53" s="32">
        <f t="shared" si="62"/>
        <v>1.0755606549735759</v>
      </c>
      <c r="W53" s="3">
        <v>3789927</v>
      </c>
      <c r="Y53" s="3">
        <v>5263360</v>
      </c>
      <c r="Z53" s="223">
        <v>4449671</v>
      </c>
      <c r="AA53" s="3">
        <f t="shared" si="63"/>
        <v>-813689</v>
      </c>
      <c r="AB53" s="32">
        <f t="shared" si="64"/>
        <v>0.84540502644698445</v>
      </c>
      <c r="AD53" s="3">
        <f>6672325-1564976</f>
        <v>5107349</v>
      </c>
      <c r="AF53" s="3">
        <v>4288477</v>
      </c>
      <c r="AG53" s="3">
        <v>4656875</v>
      </c>
      <c r="AH53" s="3">
        <f t="shared" si="65"/>
        <v>368398</v>
      </c>
      <c r="AI53" s="32">
        <f t="shared" si="66"/>
        <v>1.0859041566504846</v>
      </c>
      <c r="AK53" s="3">
        <f>4272371-111559</f>
        <v>4160812</v>
      </c>
      <c r="AM53" s="3">
        <v>4611754</v>
      </c>
      <c r="AN53" s="222">
        <v>5071119</v>
      </c>
      <c r="AO53" s="3">
        <f t="shared" si="67"/>
        <v>459365</v>
      </c>
      <c r="AP53" s="32">
        <f t="shared" si="68"/>
        <v>1.0996074378642053</v>
      </c>
      <c r="AR53" s="3">
        <v>4476782</v>
      </c>
      <c r="AT53" s="3">
        <v>4273323</v>
      </c>
      <c r="AU53" s="3">
        <v>4309453</v>
      </c>
      <c r="AV53" s="3">
        <f t="shared" si="69"/>
        <v>36130</v>
      </c>
      <c r="AW53" s="32">
        <f t="shared" si="70"/>
        <v>1.0084547786348002</v>
      </c>
      <c r="AY53" s="3">
        <f>5526215-1380896</f>
        <v>4145319</v>
      </c>
      <c r="BA53" s="3">
        <v>4414757</v>
      </c>
      <c r="BB53" s="222">
        <v>4577224</v>
      </c>
      <c r="BC53" s="222">
        <f t="shared" si="71"/>
        <v>162467</v>
      </c>
      <c r="BD53" s="32">
        <f t="shared" si="72"/>
        <v>1.036800893004983</v>
      </c>
      <c r="BF53" s="3">
        <f>7073047-2787880</f>
        <v>4285167</v>
      </c>
      <c r="BH53" s="3">
        <v>4035916</v>
      </c>
      <c r="BI53" s="222">
        <v>4274861</v>
      </c>
      <c r="BJ53" s="222">
        <f t="shared" si="73"/>
        <v>238945</v>
      </c>
      <c r="BK53" s="32">
        <f t="shared" si="74"/>
        <v>1.0592046514347673</v>
      </c>
      <c r="BM53" s="3">
        <v>3918648</v>
      </c>
      <c r="BO53" s="3">
        <v>3798509</v>
      </c>
      <c r="BP53" s="3">
        <v>3663170</v>
      </c>
      <c r="BQ53" s="3">
        <f t="shared" si="75"/>
        <v>-135339</v>
      </c>
      <c r="BR53" s="32">
        <f t="shared" si="76"/>
        <v>0.9643704937911165</v>
      </c>
      <c r="BT53" s="3">
        <f>4048733-361623</f>
        <v>3687110</v>
      </c>
      <c r="BV53" s="3">
        <v>4035916</v>
      </c>
      <c r="BW53" s="34">
        <v>4037887</v>
      </c>
      <c r="BX53" s="3">
        <f t="shared" si="77"/>
        <v>1971</v>
      </c>
      <c r="BY53" s="32">
        <f t="shared" si="78"/>
        <v>1.000488364970926</v>
      </c>
      <c r="CA53" s="3">
        <f>3914546</f>
        <v>3914546</v>
      </c>
      <c r="CC53" s="3">
        <v>3950047</v>
      </c>
      <c r="CD53" s="3">
        <v>4104602</v>
      </c>
      <c r="CE53" s="9">
        <f t="shared" si="58"/>
        <v>154555</v>
      </c>
      <c r="CF53" s="32">
        <f t="shared" si="79"/>
        <v>1.0391273825349421</v>
      </c>
      <c r="CH53" s="3">
        <v>4008617</v>
      </c>
      <c r="CJ53" s="225">
        <f t="shared" si="80"/>
        <v>50512094</v>
      </c>
      <c r="CK53" s="3">
        <f t="shared" si="80"/>
        <v>52250587</v>
      </c>
      <c r="CL53" s="3">
        <f t="shared" si="81"/>
        <v>1583938</v>
      </c>
      <c r="CM53" s="32">
        <f t="shared" si="82"/>
        <v>1.0344173615134624</v>
      </c>
      <c r="CO53" s="3">
        <f t="shared" si="26"/>
        <v>41595837</v>
      </c>
      <c r="CQ53" s="3">
        <v>50512094</v>
      </c>
      <c r="CR53" s="3">
        <f t="shared" si="83"/>
        <v>52250587</v>
      </c>
      <c r="CS53" s="9">
        <f t="shared" si="84"/>
        <v>1738493</v>
      </c>
      <c r="CT53" s="32">
        <f t="shared" si="85"/>
        <v>1.0344173615134624</v>
      </c>
      <c r="CV53" s="3">
        <f t="shared" si="86"/>
        <v>49197493</v>
      </c>
      <c r="CX53" s="3">
        <f t="shared" si="31"/>
        <v>11784472</v>
      </c>
      <c r="CY53" s="3">
        <f t="shared" si="32"/>
        <v>11784472</v>
      </c>
      <c r="CZ53" s="3">
        <f t="shared" si="87"/>
        <v>11784472</v>
      </c>
      <c r="DA53" s="3">
        <f t="shared" si="34"/>
        <v>64035059</v>
      </c>
    </row>
    <row r="54" spans="1:105" s="26" customFormat="1" ht="16.5" customHeight="1" x14ac:dyDescent="0.3">
      <c r="A54" s="29"/>
      <c r="B54" s="30" t="s">
        <v>50</v>
      </c>
      <c r="D54" s="3">
        <v>305008</v>
      </c>
      <c r="E54" s="3">
        <v>318827</v>
      </c>
      <c r="F54" s="3">
        <f t="shared" si="59"/>
        <v>13819</v>
      </c>
      <c r="G54" s="32">
        <f t="shared" si="60"/>
        <v>1.0453070083407647</v>
      </c>
      <c r="I54" s="3">
        <v>271130</v>
      </c>
      <c r="J54" s="218"/>
      <c r="K54" s="33">
        <v>368652</v>
      </c>
      <c r="L54" s="222">
        <v>381102</v>
      </c>
      <c r="M54" s="3">
        <f t="shared" si="57"/>
        <v>12450</v>
      </c>
      <c r="N54" s="32">
        <f t="shared" si="2"/>
        <v>1.0337716871195599</v>
      </c>
      <c r="P54" s="3">
        <f>363516-35922</f>
        <v>327594</v>
      </c>
      <c r="R54" s="3">
        <v>297803</v>
      </c>
      <c r="S54" s="223">
        <v>421799</v>
      </c>
      <c r="T54" s="3">
        <f t="shared" si="61"/>
        <v>123996</v>
      </c>
      <c r="U54" s="32">
        <f t="shared" si="62"/>
        <v>1.4163692105183627</v>
      </c>
      <c r="W54" s="3">
        <v>264891</v>
      </c>
      <c r="Y54" s="3">
        <v>330226</v>
      </c>
      <c r="Z54" s="223">
        <v>224746</v>
      </c>
      <c r="AA54" s="3">
        <f t="shared" si="63"/>
        <v>-105480</v>
      </c>
      <c r="AB54" s="32">
        <f t="shared" si="64"/>
        <v>0.68058238903054269</v>
      </c>
      <c r="AD54" s="3">
        <f>587318-293659</f>
        <v>293659</v>
      </c>
      <c r="AF54" s="3">
        <v>366250</v>
      </c>
      <c r="AG54" s="3">
        <v>270641</v>
      </c>
      <c r="AH54" s="3">
        <f t="shared" si="65"/>
        <v>-95609</v>
      </c>
      <c r="AI54" s="32">
        <f t="shared" si="66"/>
        <v>0.73895153583617745</v>
      </c>
      <c r="AK54" s="3">
        <v>325498</v>
      </c>
      <c r="AM54" s="3">
        <v>255775</v>
      </c>
      <c r="AN54" s="222">
        <v>467104</v>
      </c>
      <c r="AO54" s="3">
        <f t="shared" si="67"/>
        <v>211329</v>
      </c>
      <c r="AP54" s="32">
        <f t="shared" si="68"/>
        <v>1.8262300850356759</v>
      </c>
      <c r="AR54" s="3">
        <f>270887-43365</f>
        <v>227522</v>
      </c>
      <c r="AT54" s="3">
        <v>346237</v>
      </c>
      <c r="AU54" s="3">
        <v>354332</v>
      </c>
      <c r="AV54" s="3">
        <f t="shared" si="69"/>
        <v>8095</v>
      </c>
      <c r="AW54" s="32">
        <f t="shared" si="70"/>
        <v>1.0233799391746117</v>
      </c>
      <c r="AY54" s="3">
        <f>615988-307994</f>
        <v>307994</v>
      </c>
      <c r="BA54" s="3">
        <v>355843</v>
      </c>
      <c r="BB54" s="222">
        <v>337769</v>
      </c>
      <c r="BC54" s="222">
        <f t="shared" si="71"/>
        <v>-18074</v>
      </c>
      <c r="BD54" s="32">
        <f t="shared" si="72"/>
        <v>0.94920793720826324</v>
      </c>
      <c r="BF54" s="3">
        <v>316223</v>
      </c>
      <c r="BH54" s="3">
        <v>317017</v>
      </c>
      <c r="BI54" s="222">
        <v>448804</v>
      </c>
      <c r="BJ54" s="222">
        <f t="shared" si="73"/>
        <v>131787</v>
      </c>
      <c r="BK54" s="32">
        <f t="shared" si="74"/>
        <v>1.415709567625711</v>
      </c>
      <c r="BM54" s="3">
        <v>281885</v>
      </c>
      <c r="BO54" s="3">
        <v>464317</v>
      </c>
      <c r="BP54" s="3">
        <v>383837</v>
      </c>
      <c r="BQ54" s="3">
        <f t="shared" si="75"/>
        <v>-80480</v>
      </c>
      <c r="BR54" s="32">
        <f t="shared" si="76"/>
        <v>0.82667014130432437</v>
      </c>
      <c r="BT54" s="3">
        <f>412925</f>
        <v>412925</v>
      </c>
      <c r="BV54" s="3">
        <v>265782</v>
      </c>
      <c r="BW54" s="34">
        <v>297069</v>
      </c>
      <c r="BX54" s="3">
        <f t="shared" si="77"/>
        <v>31287</v>
      </c>
      <c r="BY54" s="32">
        <f t="shared" si="78"/>
        <v>1.1177167754023976</v>
      </c>
      <c r="CA54" s="3">
        <v>236161</v>
      </c>
      <c r="CC54" s="3">
        <v>329825</v>
      </c>
      <c r="CD54" s="3">
        <v>324833</v>
      </c>
      <c r="CE54" s="9">
        <f t="shared" si="58"/>
        <v>-4992</v>
      </c>
      <c r="CF54" s="32">
        <f t="shared" si="79"/>
        <v>0.98486470097779122</v>
      </c>
      <c r="CH54" s="3">
        <v>291204</v>
      </c>
      <c r="CJ54" s="225">
        <f t="shared" si="80"/>
        <v>4002735</v>
      </c>
      <c r="CK54" s="3">
        <f t="shared" si="80"/>
        <v>4230863</v>
      </c>
      <c r="CL54" s="3">
        <f t="shared" si="81"/>
        <v>233120</v>
      </c>
      <c r="CM54" s="32">
        <f t="shared" si="82"/>
        <v>1.0569930310150435</v>
      </c>
      <c r="CO54" s="3">
        <f t="shared" si="26"/>
        <v>2907600</v>
      </c>
      <c r="CQ54" s="3">
        <v>4002735</v>
      </c>
      <c r="CR54" s="3">
        <f t="shared" si="83"/>
        <v>4230863</v>
      </c>
      <c r="CS54" s="9">
        <f t="shared" si="84"/>
        <v>228128</v>
      </c>
      <c r="CT54" s="32">
        <f t="shared" si="85"/>
        <v>1.0569930310150435</v>
      </c>
      <c r="CV54" s="3">
        <f t="shared" si="86"/>
        <v>3556686</v>
      </c>
      <c r="CX54" s="3">
        <f t="shared" si="31"/>
        <v>1059924</v>
      </c>
      <c r="CY54" s="3">
        <f t="shared" si="32"/>
        <v>1059924</v>
      </c>
      <c r="CZ54" s="3">
        <f t="shared" si="87"/>
        <v>1059924</v>
      </c>
      <c r="DA54" s="3">
        <f t="shared" si="34"/>
        <v>5290787</v>
      </c>
    </row>
    <row r="55" spans="1:105" s="26" customFormat="1" ht="16.5" customHeight="1" x14ac:dyDescent="0.3">
      <c r="A55" s="29"/>
      <c r="B55" s="30" t="s">
        <v>51</v>
      </c>
      <c r="D55" s="3">
        <v>587541</v>
      </c>
      <c r="E55" s="3">
        <v>960789</v>
      </c>
      <c r="F55" s="3">
        <f t="shared" si="59"/>
        <v>373248</v>
      </c>
      <c r="G55" s="32">
        <f t="shared" si="60"/>
        <v>1.6352714108462219</v>
      </c>
      <c r="I55" s="3">
        <v>559561</v>
      </c>
      <c r="J55" s="218"/>
      <c r="K55" s="33">
        <v>580051</v>
      </c>
      <c r="L55" s="222">
        <v>528016</v>
      </c>
      <c r="M55" s="3">
        <f t="shared" si="57"/>
        <v>-52035</v>
      </c>
      <c r="N55" s="32">
        <f t="shared" si="2"/>
        <v>0.91029237084325343</v>
      </c>
      <c r="P55" s="3">
        <f>559561-6677</f>
        <v>552884</v>
      </c>
      <c r="R55" s="3">
        <v>587541</v>
      </c>
      <c r="S55" s="223">
        <v>1285828</v>
      </c>
      <c r="T55" s="3">
        <f t="shared" si="61"/>
        <v>698287</v>
      </c>
      <c r="U55" s="32">
        <f t="shared" si="62"/>
        <v>2.1884906755443452</v>
      </c>
      <c r="W55" s="3">
        <v>559561</v>
      </c>
      <c r="Y55" s="3">
        <v>815567</v>
      </c>
      <c r="Z55" s="223">
        <v>1450992</v>
      </c>
      <c r="AA55" s="3">
        <f t="shared" si="63"/>
        <v>635425</v>
      </c>
      <c r="AB55" s="32">
        <f t="shared" si="64"/>
        <v>1.7791205382267796</v>
      </c>
      <c r="AD55" s="3">
        <f>1336489-559561</f>
        <v>776928</v>
      </c>
      <c r="AF55" s="3">
        <v>499326</v>
      </c>
      <c r="AG55" s="3">
        <v>528016</v>
      </c>
      <c r="AH55" s="3">
        <f t="shared" si="65"/>
        <v>28690</v>
      </c>
      <c r="AI55" s="32">
        <f t="shared" si="66"/>
        <v>1.0574574526461671</v>
      </c>
      <c r="AK55" s="3">
        <f>559561-83898</f>
        <v>475663</v>
      </c>
      <c r="AM55" s="3">
        <v>587541</v>
      </c>
      <c r="AN55" s="222">
        <v>528016</v>
      </c>
      <c r="AO55" s="3">
        <f t="shared" si="67"/>
        <v>-59525</v>
      </c>
      <c r="AP55" s="32">
        <f t="shared" si="68"/>
        <v>0.89868792135357367</v>
      </c>
      <c r="AR55" s="3">
        <v>559561</v>
      </c>
      <c r="AT55" s="3">
        <v>1176746</v>
      </c>
      <c r="AU55" s="3">
        <v>1481591</v>
      </c>
      <c r="AV55" s="3">
        <f t="shared" si="69"/>
        <v>304845</v>
      </c>
      <c r="AW55" s="32">
        <f t="shared" si="70"/>
        <v>1.2590576046147597</v>
      </c>
      <c r="AY55" s="3">
        <f>2242324-1121162</f>
        <v>1121162</v>
      </c>
      <c r="BA55" s="3">
        <v>587541</v>
      </c>
      <c r="BB55" s="222">
        <v>564244</v>
      </c>
      <c r="BC55" s="222">
        <f t="shared" si="71"/>
        <v>-23297</v>
      </c>
      <c r="BD55" s="32">
        <f t="shared" si="72"/>
        <v>0.9603482990974247</v>
      </c>
      <c r="BF55" s="3">
        <v>559561</v>
      </c>
      <c r="BH55" s="3">
        <v>587541</v>
      </c>
      <c r="BI55" s="222">
        <v>564244</v>
      </c>
      <c r="BJ55" s="222">
        <f t="shared" si="73"/>
        <v>-23297</v>
      </c>
      <c r="BK55" s="32">
        <f t="shared" si="74"/>
        <v>0.9603482990974247</v>
      </c>
      <c r="BM55" s="3">
        <v>559561</v>
      </c>
      <c r="BO55" s="3">
        <v>1091861</v>
      </c>
      <c r="BP55" s="3">
        <v>1349995</v>
      </c>
      <c r="BQ55" s="3">
        <f t="shared" si="75"/>
        <v>258134</v>
      </c>
      <c r="BR55" s="32">
        <f t="shared" si="76"/>
        <v>1.23641654020063</v>
      </c>
      <c r="BT55" s="3">
        <v>1040179</v>
      </c>
      <c r="BV55" s="3">
        <v>586709</v>
      </c>
      <c r="BW55" s="34">
        <v>564244</v>
      </c>
      <c r="BX55" s="3">
        <f t="shared" si="77"/>
        <v>-22465</v>
      </c>
      <c r="BY55" s="32">
        <f t="shared" si="78"/>
        <v>0.9617101493244522</v>
      </c>
      <c r="CA55" s="3">
        <v>559561</v>
      </c>
      <c r="CC55" s="3">
        <v>634143</v>
      </c>
      <c r="CD55" s="3">
        <v>564244</v>
      </c>
      <c r="CE55" s="9">
        <f t="shared" si="58"/>
        <v>-69899</v>
      </c>
      <c r="CF55" s="32">
        <f t="shared" si="79"/>
        <v>0.88977407304030798</v>
      </c>
      <c r="CH55" s="3">
        <v>559561</v>
      </c>
      <c r="CJ55" s="225">
        <f t="shared" si="80"/>
        <v>8322108</v>
      </c>
      <c r="CK55" s="3">
        <f t="shared" si="80"/>
        <v>10370219</v>
      </c>
      <c r="CL55" s="3">
        <f t="shared" si="81"/>
        <v>2118010</v>
      </c>
      <c r="CM55" s="32">
        <f t="shared" si="82"/>
        <v>1.2461048330543174</v>
      </c>
      <c r="CO55" s="3">
        <f t="shared" si="26"/>
        <v>6284003</v>
      </c>
      <c r="CQ55" s="3">
        <v>8322108</v>
      </c>
      <c r="CR55" s="3">
        <f t="shared" si="83"/>
        <v>10370219</v>
      </c>
      <c r="CS55" s="9">
        <f t="shared" si="84"/>
        <v>2048111</v>
      </c>
      <c r="CT55" s="32">
        <f t="shared" si="85"/>
        <v>1.2461048330543174</v>
      </c>
      <c r="CV55" s="3">
        <f t="shared" si="86"/>
        <v>7883743</v>
      </c>
      <c r="CX55" s="3">
        <f t="shared" si="31"/>
        <v>2312713</v>
      </c>
      <c r="CY55" s="3">
        <f t="shared" si="32"/>
        <v>2312713</v>
      </c>
      <c r="CZ55" s="3">
        <f t="shared" si="87"/>
        <v>2312713</v>
      </c>
      <c r="DA55" s="3">
        <f t="shared" si="34"/>
        <v>12682932</v>
      </c>
    </row>
    <row r="56" spans="1:105" s="26" customFormat="1" ht="16.5" customHeight="1" x14ac:dyDescent="0.3">
      <c r="A56" s="29"/>
      <c r="B56" s="30" t="s">
        <v>52</v>
      </c>
      <c r="D56" s="3">
        <v>984382</v>
      </c>
      <c r="E56" s="3">
        <v>1052500</v>
      </c>
      <c r="F56" s="3">
        <f t="shared" si="59"/>
        <v>68118</v>
      </c>
      <c r="G56" s="32">
        <f t="shared" si="60"/>
        <v>1.0691987460152663</v>
      </c>
      <c r="I56" s="3">
        <v>1018376</v>
      </c>
      <c r="J56" s="218"/>
      <c r="K56" s="33">
        <v>1058303</v>
      </c>
      <c r="L56" s="222">
        <v>1068771</v>
      </c>
      <c r="M56" s="3">
        <f t="shared" si="57"/>
        <v>10468</v>
      </c>
      <c r="N56" s="32">
        <f t="shared" si="2"/>
        <v>1.0098913071209286</v>
      </c>
      <c r="P56" s="3">
        <f>1094307</f>
        <v>1094307</v>
      </c>
      <c r="R56" s="3">
        <v>916621</v>
      </c>
      <c r="S56" s="223">
        <v>1053716</v>
      </c>
      <c r="T56" s="3">
        <f t="shared" si="61"/>
        <v>137095</v>
      </c>
      <c r="U56" s="32">
        <f t="shared" si="62"/>
        <v>1.1495656329060757</v>
      </c>
      <c r="W56" s="3">
        <v>947414</v>
      </c>
      <c r="Y56" s="3">
        <v>983150</v>
      </c>
      <c r="Z56" s="223">
        <v>962039</v>
      </c>
      <c r="AA56" s="3">
        <f t="shared" si="63"/>
        <v>-21111</v>
      </c>
      <c r="AB56" s="32">
        <f t="shared" si="64"/>
        <v>0.978527183034125</v>
      </c>
      <c r="AD56" s="3">
        <f>2033182-1016591</f>
        <v>1016591</v>
      </c>
      <c r="AF56" s="3">
        <v>1167953</v>
      </c>
      <c r="AG56" s="3">
        <v>1111250</v>
      </c>
      <c r="AH56" s="3">
        <f t="shared" si="65"/>
        <v>-56703</v>
      </c>
      <c r="AI56" s="32">
        <f t="shared" si="66"/>
        <v>0.95145095735872931</v>
      </c>
      <c r="AK56" s="3">
        <v>1208257</v>
      </c>
      <c r="AM56" s="3">
        <v>983150</v>
      </c>
      <c r="AN56" s="222">
        <v>989367</v>
      </c>
      <c r="AO56" s="3">
        <f t="shared" si="67"/>
        <v>6217</v>
      </c>
      <c r="AP56" s="32">
        <f t="shared" si="68"/>
        <v>1.0063235518486497</v>
      </c>
      <c r="AR56" s="3">
        <v>1017093</v>
      </c>
      <c r="AT56" s="3">
        <v>1070623</v>
      </c>
      <c r="AU56" s="3">
        <v>1133910</v>
      </c>
      <c r="AV56" s="3">
        <f t="shared" si="69"/>
        <v>63287</v>
      </c>
      <c r="AW56" s="32">
        <f t="shared" si="70"/>
        <v>1.05911231124308</v>
      </c>
      <c r="AY56" s="3">
        <f>2213708-1106854</f>
        <v>1106854</v>
      </c>
      <c r="BA56" s="3">
        <v>1039823</v>
      </c>
      <c r="BB56" s="222">
        <v>1084862</v>
      </c>
      <c r="BC56" s="222">
        <f t="shared" si="71"/>
        <v>45039</v>
      </c>
      <c r="BD56" s="32">
        <f t="shared" si="72"/>
        <v>1.0433141024962902</v>
      </c>
      <c r="BF56" s="3">
        <v>1075584</v>
      </c>
      <c r="BH56" s="3">
        <v>1048447</v>
      </c>
      <c r="BI56" s="222">
        <v>1057949</v>
      </c>
      <c r="BJ56" s="222">
        <f t="shared" si="73"/>
        <v>9502</v>
      </c>
      <c r="BK56" s="32">
        <f t="shared" si="74"/>
        <v>1.0090629283120653</v>
      </c>
      <c r="BM56" s="3">
        <v>1084237</v>
      </c>
      <c r="BO56" s="3">
        <v>1103888</v>
      </c>
      <c r="BP56" s="3">
        <v>1082983</v>
      </c>
      <c r="BQ56" s="3">
        <f t="shared" si="75"/>
        <v>-20905</v>
      </c>
      <c r="BR56" s="32">
        <f t="shared" si="76"/>
        <v>0.98106239038743059</v>
      </c>
      <c r="BT56" s="3">
        <v>1142358</v>
      </c>
      <c r="BV56" s="3">
        <v>1059535</v>
      </c>
      <c r="BW56" s="34">
        <v>1052143</v>
      </c>
      <c r="BX56" s="3">
        <f t="shared" si="77"/>
        <v>-7392</v>
      </c>
      <c r="BY56" s="32">
        <f t="shared" si="78"/>
        <v>0.99302335458479429</v>
      </c>
      <c r="CA56" s="3">
        <v>1096154</v>
      </c>
      <c r="CC56" s="3">
        <v>904301</v>
      </c>
      <c r="CD56" s="3">
        <v>1094862</v>
      </c>
      <c r="CE56" s="9">
        <f t="shared" si="58"/>
        <v>190561</v>
      </c>
      <c r="CF56" s="32">
        <f t="shared" si="79"/>
        <v>1.2107274016063236</v>
      </c>
      <c r="CH56" s="3">
        <v>1091657</v>
      </c>
      <c r="CJ56" s="225">
        <f t="shared" si="80"/>
        <v>12320176</v>
      </c>
      <c r="CK56" s="3">
        <f t="shared" si="80"/>
        <v>12744352</v>
      </c>
      <c r="CL56" s="3">
        <f t="shared" si="81"/>
        <v>233615</v>
      </c>
      <c r="CM56" s="32">
        <f t="shared" si="82"/>
        <v>1.034429378281609</v>
      </c>
      <c r="CO56" s="3">
        <f t="shared" si="26"/>
        <v>10660370</v>
      </c>
      <c r="CQ56" s="3">
        <v>12320176</v>
      </c>
      <c r="CR56" s="3">
        <f t="shared" si="83"/>
        <v>12744352</v>
      </c>
      <c r="CS56" s="9">
        <f t="shared" si="84"/>
        <v>424176</v>
      </c>
      <c r="CT56" s="32">
        <f t="shared" si="85"/>
        <v>1.034429378281609</v>
      </c>
      <c r="CV56" s="3">
        <f t="shared" si="86"/>
        <v>12898882</v>
      </c>
      <c r="CX56" s="3">
        <f t="shared" si="31"/>
        <v>3067724</v>
      </c>
      <c r="CY56" s="3">
        <f t="shared" si="32"/>
        <v>3067724</v>
      </c>
      <c r="CZ56" s="3">
        <f t="shared" si="87"/>
        <v>3067724</v>
      </c>
      <c r="DA56" s="3">
        <f t="shared" si="34"/>
        <v>15812076</v>
      </c>
    </row>
    <row r="57" spans="1:105" s="26" customFormat="1" ht="16.5" customHeight="1" x14ac:dyDescent="0.3">
      <c r="A57" s="29"/>
      <c r="B57" s="30" t="s">
        <v>53</v>
      </c>
      <c r="D57" s="3">
        <v>0</v>
      </c>
      <c r="E57" s="3">
        <v>934</v>
      </c>
      <c r="F57" s="3">
        <f t="shared" si="59"/>
        <v>934</v>
      </c>
      <c r="G57" s="32">
        <f t="shared" si="60"/>
        <v>0</v>
      </c>
      <c r="I57" s="3">
        <v>3217</v>
      </c>
      <c r="J57" s="218"/>
      <c r="K57" s="33">
        <v>0</v>
      </c>
      <c r="L57" s="222">
        <v>1194</v>
      </c>
      <c r="M57" s="3">
        <f t="shared" si="57"/>
        <v>1194</v>
      </c>
      <c r="N57" s="32">
        <f t="shared" si="2"/>
        <v>0</v>
      </c>
      <c r="P57" s="3">
        <f>3280</f>
        <v>3280</v>
      </c>
      <c r="R57" s="3">
        <v>0</v>
      </c>
      <c r="S57" s="223">
        <v>310</v>
      </c>
      <c r="T57" s="3">
        <f t="shared" si="61"/>
        <v>310</v>
      </c>
      <c r="U57" s="32">
        <f t="shared" si="62"/>
        <v>0</v>
      </c>
      <c r="W57" s="3">
        <v>2208</v>
      </c>
      <c r="Y57" s="3">
        <v>0</v>
      </c>
      <c r="Z57" s="223">
        <v>2474</v>
      </c>
      <c r="AA57" s="3">
        <f t="shared" si="63"/>
        <v>2474</v>
      </c>
      <c r="AB57" s="32">
        <f t="shared" si="64"/>
        <v>0</v>
      </c>
      <c r="AD57" s="3">
        <f>3734-1867</f>
        <v>1867</v>
      </c>
      <c r="AF57" s="3">
        <v>0</v>
      </c>
      <c r="AG57" s="3">
        <v>356</v>
      </c>
      <c r="AH57" s="3">
        <f t="shared" si="65"/>
        <v>356</v>
      </c>
      <c r="AI57" s="32">
        <f t="shared" si="66"/>
        <v>0</v>
      </c>
      <c r="AK57" s="3">
        <v>1132</v>
      </c>
      <c r="AM57" s="3">
        <v>0</v>
      </c>
      <c r="AN57" s="222">
        <v>1190</v>
      </c>
      <c r="AO57" s="3">
        <f t="shared" si="67"/>
        <v>1190</v>
      </c>
      <c r="AP57" s="32">
        <f t="shared" si="68"/>
        <v>0</v>
      </c>
      <c r="AR57" s="3">
        <v>842</v>
      </c>
      <c r="AT57" s="3">
        <v>0</v>
      </c>
      <c r="AU57" s="3">
        <v>4118</v>
      </c>
      <c r="AV57" s="3">
        <f t="shared" si="69"/>
        <v>4118</v>
      </c>
      <c r="AW57" s="32">
        <f t="shared" si="70"/>
        <v>0</v>
      </c>
      <c r="AY57" s="3">
        <f>1856-928</f>
        <v>928</v>
      </c>
      <c r="BA57" s="3">
        <v>0</v>
      </c>
      <c r="BB57" s="222">
        <v>284</v>
      </c>
      <c r="BC57" s="222">
        <f t="shared" si="71"/>
        <v>284</v>
      </c>
      <c r="BD57" s="32">
        <f t="shared" si="72"/>
        <v>0</v>
      </c>
      <c r="BF57" s="3">
        <v>638</v>
      </c>
      <c r="BH57" s="3">
        <v>0</v>
      </c>
      <c r="BI57" s="222">
        <v>148</v>
      </c>
      <c r="BJ57" s="222">
        <f t="shared" si="73"/>
        <v>148</v>
      </c>
      <c r="BK57" s="32">
        <f t="shared" si="74"/>
        <v>0</v>
      </c>
      <c r="BM57" s="3">
        <f>346-10</f>
        <v>336</v>
      </c>
      <c r="BO57" s="3">
        <v>0</v>
      </c>
      <c r="BP57" s="3">
        <v>688</v>
      </c>
      <c r="BQ57" s="3">
        <f t="shared" si="75"/>
        <v>688</v>
      </c>
      <c r="BR57" s="32">
        <f t="shared" si="76"/>
        <v>0</v>
      </c>
      <c r="BT57" s="3">
        <v>832</v>
      </c>
      <c r="BV57" s="3">
        <v>0</v>
      </c>
      <c r="BW57" s="34">
        <v>1102</v>
      </c>
      <c r="BX57" s="3">
        <f t="shared" si="77"/>
        <v>1102</v>
      </c>
      <c r="BY57" s="32">
        <f t="shared" si="78"/>
        <v>0</v>
      </c>
      <c r="CA57" s="3">
        <v>2149</v>
      </c>
      <c r="CC57" s="3">
        <v>0</v>
      </c>
      <c r="CD57" s="3">
        <v>597</v>
      </c>
      <c r="CE57" s="9">
        <f t="shared" si="58"/>
        <v>597</v>
      </c>
      <c r="CF57" s="32">
        <f t="shared" si="79"/>
        <v>0</v>
      </c>
      <c r="CH57" s="3">
        <v>952</v>
      </c>
      <c r="CJ57" s="225">
        <f t="shared" si="80"/>
        <v>0</v>
      </c>
      <c r="CK57" s="3">
        <f t="shared" si="80"/>
        <v>13395</v>
      </c>
      <c r="CL57" s="3">
        <f t="shared" si="81"/>
        <v>12798</v>
      </c>
      <c r="CM57" s="32">
        <f t="shared" si="82"/>
        <v>0</v>
      </c>
      <c r="CO57" s="3">
        <f t="shared" si="26"/>
        <v>15400</v>
      </c>
      <c r="CQ57" s="3">
        <v>0</v>
      </c>
      <c r="CR57" s="3">
        <f t="shared" si="83"/>
        <v>13395</v>
      </c>
      <c r="CS57" s="9">
        <f t="shared" si="84"/>
        <v>13395</v>
      </c>
      <c r="CT57" s="32">
        <f t="shared" si="85"/>
        <v>0</v>
      </c>
      <c r="CV57" s="3">
        <f t="shared" si="86"/>
        <v>18381</v>
      </c>
      <c r="CX57" s="3">
        <f t="shared" si="31"/>
        <v>0</v>
      </c>
      <c r="CY57" s="3">
        <f t="shared" si="32"/>
        <v>0</v>
      </c>
      <c r="CZ57" s="3">
        <f t="shared" si="87"/>
        <v>0</v>
      </c>
      <c r="DA57" s="3">
        <f t="shared" si="34"/>
        <v>13395</v>
      </c>
    </row>
    <row r="58" spans="1:105" s="26" customFormat="1" ht="16.5" customHeight="1" x14ac:dyDescent="0.3">
      <c r="A58" s="29"/>
      <c r="B58" s="30" t="s">
        <v>54</v>
      </c>
      <c r="D58" s="3">
        <v>305435</v>
      </c>
      <c r="E58" s="3">
        <v>459451</v>
      </c>
      <c r="F58" s="3">
        <f t="shared" si="59"/>
        <v>154016</v>
      </c>
      <c r="G58" s="32">
        <f t="shared" si="60"/>
        <v>1.5042513137001325</v>
      </c>
      <c r="I58" s="3">
        <v>334850</v>
      </c>
      <c r="J58" s="218"/>
      <c r="K58" s="33">
        <v>412239</v>
      </c>
      <c r="L58" s="255">
        <v>573199</v>
      </c>
      <c r="M58" s="3">
        <f t="shared" si="57"/>
        <v>160960</v>
      </c>
      <c r="N58" s="32">
        <f t="shared" si="2"/>
        <v>1.3904531109380722</v>
      </c>
      <c r="P58" s="3">
        <v>452288</v>
      </c>
      <c r="R58" s="3">
        <v>330658</v>
      </c>
      <c r="S58" s="223">
        <v>373563</v>
      </c>
      <c r="T58" s="3">
        <f t="shared" si="61"/>
        <v>42905</v>
      </c>
      <c r="U58" s="32">
        <f t="shared" si="62"/>
        <v>1.1297564250675924</v>
      </c>
      <c r="W58" s="3">
        <f>714235-351656</f>
        <v>362579</v>
      </c>
      <c r="Y58" s="3">
        <v>349575</v>
      </c>
      <c r="Z58" s="223">
        <v>413173</v>
      </c>
      <c r="AA58" s="3">
        <f t="shared" si="63"/>
        <v>63598</v>
      </c>
      <c r="AB58" s="32">
        <f t="shared" si="64"/>
        <v>1.1819294858041909</v>
      </c>
      <c r="AD58" s="3">
        <f>767200-383600</f>
        <v>383600</v>
      </c>
      <c r="AF58" s="3">
        <v>276271</v>
      </c>
      <c r="AG58" s="3">
        <v>404224</v>
      </c>
      <c r="AH58" s="3">
        <f t="shared" si="65"/>
        <v>127953</v>
      </c>
      <c r="AI58" s="32">
        <f t="shared" si="66"/>
        <v>1.4631430732867365</v>
      </c>
      <c r="AK58" s="3">
        <f>597053-293961</f>
        <v>303092</v>
      </c>
      <c r="AM58" s="3">
        <v>305041</v>
      </c>
      <c r="AN58" s="222">
        <v>402730</v>
      </c>
      <c r="AO58" s="3">
        <f t="shared" si="67"/>
        <v>97689</v>
      </c>
      <c r="AP58" s="32">
        <f t="shared" si="68"/>
        <v>1.3202487534462581</v>
      </c>
      <c r="AR58" s="3">
        <f>773280-438663</f>
        <v>334617</v>
      </c>
      <c r="AT58" s="3">
        <v>311741</v>
      </c>
      <c r="AU58" s="3">
        <v>439823</v>
      </c>
      <c r="AV58" s="3">
        <f t="shared" si="69"/>
        <v>128082</v>
      </c>
      <c r="AW58" s="32">
        <f t="shared" si="70"/>
        <v>1.4108602974905451</v>
      </c>
      <c r="AY58" s="3">
        <f>684178-342089</f>
        <v>342089</v>
      </c>
      <c r="BA58" s="3">
        <v>340117</v>
      </c>
      <c r="BB58" s="222">
        <v>441996</v>
      </c>
      <c r="BC58" s="222">
        <f t="shared" si="71"/>
        <v>101879</v>
      </c>
      <c r="BD58" s="32">
        <f t="shared" si="72"/>
        <v>1.299541040289077</v>
      </c>
      <c r="BF58" s="3">
        <v>372850</v>
      </c>
      <c r="BH58" s="3">
        <v>288094</v>
      </c>
      <c r="BI58" s="222">
        <v>456975</v>
      </c>
      <c r="BJ58" s="222">
        <f t="shared" si="73"/>
        <v>168881</v>
      </c>
      <c r="BK58" s="32">
        <f t="shared" si="74"/>
        <v>1.5862010316077391</v>
      </c>
      <c r="BM58" s="3">
        <v>316197</v>
      </c>
      <c r="BO58" s="3">
        <v>432732</v>
      </c>
      <c r="BP58" s="3">
        <v>448309</v>
      </c>
      <c r="BQ58" s="3">
        <f t="shared" si="75"/>
        <v>15577</v>
      </c>
      <c r="BR58" s="32">
        <f t="shared" si="76"/>
        <v>1.0359968756643836</v>
      </c>
      <c r="BT58" s="3">
        <v>474578</v>
      </c>
      <c r="BV58" s="3">
        <v>340117</v>
      </c>
      <c r="BW58" s="34">
        <v>442539</v>
      </c>
      <c r="BX58" s="3">
        <f t="shared" si="77"/>
        <v>102422</v>
      </c>
      <c r="BY58" s="32">
        <f t="shared" si="78"/>
        <v>1.3011375497255355</v>
      </c>
      <c r="CA58" s="3">
        <v>372926</v>
      </c>
      <c r="CC58" s="3">
        <v>249077</v>
      </c>
      <c r="CD58" s="3">
        <v>498776</v>
      </c>
      <c r="CE58" s="9">
        <f t="shared" si="58"/>
        <v>249699</v>
      </c>
      <c r="CF58" s="32">
        <f t="shared" si="79"/>
        <v>2.0024972197352624</v>
      </c>
      <c r="CH58" s="3">
        <v>393714</v>
      </c>
      <c r="CJ58" s="225">
        <f t="shared" si="80"/>
        <v>3941097</v>
      </c>
      <c r="CK58" s="3">
        <f t="shared" si="80"/>
        <v>5354758</v>
      </c>
      <c r="CL58" s="3">
        <f t="shared" si="81"/>
        <v>1163962</v>
      </c>
      <c r="CM58" s="32">
        <f t="shared" si="82"/>
        <v>1.3586973373149658</v>
      </c>
      <c r="CO58" s="3">
        <f t="shared" si="26"/>
        <v>3595876</v>
      </c>
      <c r="CQ58" s="3">
        <v>3941097</v>
      </c>
      <c r="CR58" s="3">
        <f t="shared" si="83"/>
        <v>5354758</v>
      </c>
      <c r="CS58" s="9">
        <f t="shared" si="84"/>
        <v>1413661</v>
      </c>
      <c r="CT58" s="32">
        <f t="shared" si="85"/>
        <v>1.3586973373149658</v>
      </c>
      <c r="CV58" s="3">
        <f t="shared" si="86"/>
        <v>4443380</v>
      </c>
      <c r="CX58" s="3">
        <f t="shared" si="31"/>
        <v>1021926</v>
      </c>
      <c r="CY58" s="3">
        <f t="shared" si="32"/>
        <v>1021926</v>
      </c>
      <c r="CZ58" s="3">
        <f t="shared" si="87"/>
        <v>1021926</v>
      </c>
      <c r="DA58" s="3">
        <f t="shared" si="34"/>
        <v>6376684</v>
      </c>
    </row>
    <row r="59" spans="1:105" s="26" customFormat="1" ht="16.5" customHeight="1" x14ac:dyDescent="0.3">
      <c r="A59" s="29"/>
      <c r="B59" s="264" t="s">
        <v>55</v>
      </c>
      <c r="D59" s="3">
        <v>27931</v>
      </c>
      <c r="E59" s="3">
        <v>34329</v>
      </c>
      <c r="F59" s="3">
        <f t="shared" si="59"/>
        <v>6398</v>
      </c>
      <c r="G59" s="32">
        <f t="shared" si="60"/>
        <v>1.2290644803265189</v>
      </c>
      <c r="I59" s="3">
        <v>28581</v>
      </c>
      <c r="J59" s="218"/>
      <c r="K59" s="33">
        <v>51344</v>
      </c>
      <c r="L59" s="222">
        <v>61808</v>
      </c>
      <c r="M59" s="3">
        <f t="shared" si="57"/>
        <v>10464</v>
      </c>
      <c r="N59" s="32">
        <f t="shared" si="2"/>
        <v>1.2038018074166408</v>
      </c>
      <c r="P59" s="3">
        <v>52515</v>
      </c>
      <c r="R59" s="3">
        <v>19390</v>
      </c>
      <c r="S59" s="223">
        <v>24481</v>
      </c>
      <c r="T59" s="3">
        <f t="shared" si="61"/>
        <v>5091</v>
      </c>
      <c r="U59" s="32">
        <f t="shared" si="62"/>
        <v>1.2625580195977308</v>
      </c>
      <c r="W59" s="3">
        <v>19847</v>
      </c>
      <c r="Y59" s="3">
        <v>21270</v>
      </c>
      <c r="Z59" s="223">
        <v>24225</v>
      </c>
      <c r="AA59" s="3">
        <f t="shared" si="63"/>
        <v>2955</v>
      </c>
      <c r="AB59" s="32">
        <f t="shared" si="64"/>
        <v>1.1389280677009872</v>
      </c>
      <c r="AD59" s="3">
        <f>43508-21754</f>
        <v>21754</v>
      </c>
      <c r="AF59" s="3">
        <v>21434</v>
      </c>
      <c r="AG59" s="3">
        <v>26292</v>
      </c>
      <c r="AH59" s="3">
        <f t="shared" si="65"/>
        <v>4858</v>
      </c>
      <c r="AI59" s="32">
        <f t="shared" si="66"/>
        <v>1.2266492488569563</v>
      </c>
      <c r="AK59" s="3">
        <v>21919</v>
      </c>
      <c r="AM59" s="3">
        <v>21665</v>
      </c>
      <c r="AN59" s="222">
        <v>26936</v>
      </c>
      <c r="AO59" s="3">
        <f t="shared" si="67"/>
        <v>5271</v>
      </c>
      <c r="AP59" s="32">
        <f t="shared" si="68"/>
        <v>1.2432956381260096</v>
      </c>
      <c r="AR59" s="3">
        <v>22168</v>
      </c>
      <c r="AT59" s="3">
        <v>22721</v>
      </c>
      <c r="AU59" s="3">
        <v>26530</v>
      </c>
      <c r="AV59" s="3">
        <f t="shared" si="69"/>
        <v>3809</v>
      </c>
      <c r="AW59" s="32">
        <f t="shared" si="70"/>
        <v>1.1676422692663175</v>
      </c>
      <c r="AY59" s="3">
        <f>46462-23231</f>
        <v>23231</v>
      </c>
      <c r="BA59" s="3">
        <v>28920</v>
      </c>
      <c r="BB59" s="222">
        <v>38802</v>
      </c>
      <c r="BC59" s="222">
        <f t="shared" si="71"/>
        <v>9882</v>
      </c>
      <c r="BD59" s="32">
        <f t="shared" si="72"/>
        <v>1.3417012448132779</v>
      </c>
      <c r="BF59" s="3">
        <v>29600</v>
      </c>
      <c r="BH59" s="3">
        <v>24699</v>
      </c>
      <c r="BI59" s="222">
        <v>28461</v>
      </c>
      <c r="BJ59" s="222">
        <f t="shared" si="73"/>
        <v>3762</v>
      </c>
      <c r="BK59" s="32">
        <f t="shared" si="74"/>
        <v>1.1523138588606827</v>
      </c>
      <c r="BM59" s="3">
        <v>25274</v>
      </c>
      <c r="BO59" s="3">
        <v>27238</v>
      </c>
      <c r="BP59" s="3">
        <v>31310</v>
      </c>
      <c r="BQ59" s="3">
        <f t="shared" si="75"/>
        <v>4072</v>
      </c>
      <c r="BR59" s="32">
        <f t="shared" si="76"/>
        <v>1.1494970262133783</v>
      </c>
      <c r="BT59" s="3">
        <v>27860</v>
      </c>
      <c r="BV59" s="3">
        <v>26777</v>
      </c>
      <c r="BW59" s="34">
        <v>30248</v>
      </c>
      <c r="BX59" s="3">
        <f t="shared" si="77"/>
        <v>3471</v>
      </c>
      <c r="BY59" s="32">
        <f t="shared" si="78"/>
        <v>1.1296261717145311</v>
      </c>
      <c r="CA59" s="3">
        <v>27409</v>
      </c>
      <c r="CC59" s="3">
        <v>36372</v>
      </c>
      <c r="CD59" s="3">
        <v>23946</v>
      </c>
      <c r="CE59" s="9">
        <f t="shared" si="58"/>
        <v>-12426</v>
      </c>
      <c r="CF59" s="32">
        <f t="shared" si="79"/>
        <v>0.65836357637743315</v>
      </c>
      <c r="CH59" s="3">
        <v>27368</v>
      </c>
      <c r="CJ59" s="225">
        <f t="shared" si="80"/>
        <v>329761</v>
      </c>
      <c r="CK59" s="3">
        <f t="shared" si="80"/>
        <v>377368</v>
      </c>
      <c r="CL59" s="3">
        <f t="shared" si="81"/>
        <v>60033</v>
      </c>
      <c r="CM59" s="32">
        <f t="shared" si="82"/>
        <v>1.1443681939343948</v>
      </c>
      <c r="CO59" s="3">
        <f t="shared" si="26"/>
        <v>272257</v>
      </c>
      <c r="CQ59" s="3">
        <v>329761</v>
      </c>
      <c r="CR59" s="3">
        <f t="shared" si="83"/>
        <v>377368</v>
      </c>
      <c r="CS59" s="9">
        <f t="shared" si="84"/>
        <v>47607</v>
      </c>
      <c r="CT59" s="32">
        <f t="shared" si="85"/>
        <v>1.1443681939343948</v>
      </c>
      <c r="CV59" s="3">
        <f t="shared" si="86"/>
        <v>327526</v>
      </c>
      <c r="CX59" s="3">
        <f t="shared" si="31"/>
        <v>90387</v>
      </c>
      <c r="CY59" s="3">
        <f t="shared" si="32"/>
        <v>90387</v>
      </c>
      <c r="CZ59" s="3">
        <f t="shared" si="87"/>
        <v>90387</v>
      </c>
      <c r="DA59" s="3">
        <f t="shared" si="34"/>
        <v>467755</v>
      </c>
    </row>
    <row r="60" spans="1:105" s="26" customFormat="1" ht="16.5" customHeight="1" x14ac:dyDescent="0.3">
      <c r="A60" s="29"/>
      <c r="B60" s="30" t="s">
        <v>56</v>
      </c>
      <c r="D60" s="3">
        <v>0</v>
      </c>
      <c r="E60" s="3">
        <v>0</v>
      </c>
      <c r="F60" s="3">
        <f t="shared" si="59"/>
        <v>0</v>
      </c>
      <c r="G60" s="32">
        <f t="shared" si="60"/>
        <v>0</v>
      </c>
      <c r="I60" s="3">
        <v>0</v>
      </c>
      <c r="J60" s="218"/>
      <c r="K60" s="33">
        <v>0</v>
      </c>
      <c r="L60" s="222">
        <v>0</v>
      </c>
      <c r="M60" s="3">
        <f t="shared" si="57"/>
        <v>0</v>
      </c>
      <c r="N60" s="32">
        <f t="shared" si="2"/>
        <v>0</v>
      </c>
      <c r="P60" s="3">
        <v>0</v>
      </c>
      <c r="R60" s="3">
        <v>0</v>
      </c>
      <c r="S60" s="223">
        <v>0</v>
      </c>
      <c r="T60" s="3">
        <f t="shared" si="61"/>
        <v>0</v>
      </c>
      <c r="U60" s="32">
        <f t="shared" si="62"/>
        <v>0</v>
      </c>
      <c r="W60" s="3"/>
      <c r="Y60" s="3">
        <v>0</v>
      </c>
      <c r="Z60" s="223">
        <v>0</v>
      </c>
      <c r="AA60" s="3">
        <f t="shared" si="63"/>
        <v>0</v>
      </c>
      <c r="AB60" s="32">
        <f t="shared" si="64"/>
        <v>0</v>
      </c>
      <c r="AD60" s="3"/>
      <c r="AF60" s="3">
        <v>0</v>
      </c>
      <c r="AG60" s="3">
        <v>0</v>
      </c>
      <c r="AH60" s="3">
        <f t="shared" si="65"/>
        <v>0</v>
      </c>
      <c r="AI60" s="32">
        <f t="shared" si="66"/>
        <v>0</v>
      </c>
      <c r="AK60" s="3"/>
      <c r="AM60" s="3">
        <v>0</v>
      </c>
      <c r="AN60" s="222">
        <v>0</v>
      </c>
      <c r="AO60" s="3">
        <f t="shared" si="67"/>
        <v>0</v>
      </c>
      <c r="AP60" s="32">
        <f t="shared" si="68"/>
        <v>0</v>
      </c>
      <c r="AR60" s="3"/>
      <c r="AT60" s="3">
        <v>0</v>
      </c>
      <c r="AU60" s="3">
        <v>0</v>
      </c>
      <c r="AV60" s="3">
        <f t="shared" si="69"/>
        <v>0</v>
      </c>
      <c r="AW60" s="32">
        <f t="shared" si="70"/>
        <v>0</v>
      </c>
      <c r="AY60" s="3"/>
      <c r="BA60" s="3">
        <v>0</v>
      </c>
      <c r="BB60" s="222"/>
      <c r="BC60" s="222">
        <f t="shared" si="71"/>
        <v>0</v>
      </c>
      <c r="BD60" s="32">
        <f t="shared" si="72"/>
        <v>0</v>
      </c>
      <c r="BF60" s="3">
        <v>0</v>
      </c>
      <c r="BH60" s="3">
        <v>0</v>
      </c>
      <c r="BI60" s="222">
        <v>0</v>
      </c>
      <c r="BJ60" s="222">
        <f t="shared" si="73"/>
        <v>0</v>
      </c>
      <c r="BK60" s="32">
        <f t="shared" si="74"/>
        <v>0</v>
      </c>
      <c r="BM60" s="3"/>
      <c r="BO60" s="3">
        <v>0</v>
      </c>
      <c r="BP60" s="3">
        <v>0</v>
      </c>
      <c r="BQ60" s="3">
        <f t="shared" si="75"/>
        <v>0</v>
      </c>
      <c r="BR60" s="32">
        <f t="shared" si="76"/>
        <v>0</v>
      </c>
      <c r="BT60" s="3"/>
      <c r="BV60" s="3">
        <v>0</v>
      </c>
      <c r="BW60" s="34">
        <v>0</v>
      </c>
      <c r="BX60" s="3">
        <f t="shared" si="77"/>
        <v>0</v>
      </c>
      <c r="BY60" s="32">
        <f t="shared" si="78"/>
        <v>0</v>
      </c>
      <c r="CA60" s="3">
        <v>0</v>
      </c>
      <c r="CC60" s="3">
        <v>0</v>
      </c>
      <c r="CD60" s="3">
        <v>0</v>
      </c>
      <c r="CE60" s="9">
        <f t="shared" si="58"/>
        <v>0</v>
      </c>
      <c r="CF60" s="32">
        <f t="shared" si="79"/>
        <v>0</v>
      </c>
      <c r="CH60" s="3"/>
      <c r="CJ60" s="225">
        <f t="shared" si="80"/>
        <v>0</v>
      </c>
      <c r="CK60" s="3">
        <f t="shared" si="80"/>
        <v>0</v>
      </c>
      <c r="CL60" s="3">
        <f t="shared" si="81"/>
        <v>0</v>
      </c>
      <c r="CM60" s="32">
        <f t="shared" si="82"/>
        <v>0</v>
      </c>
      <c r="CO60" s="3">
        <f t="shared" si="26"/>
        <v>0</v>
      </c>
      <c r="CQ60" s="3">
        <v>0</v>
      </c>
      <c r="CR60" s="3">
        <f t="shared" si="83"/>
        <v>0</v>
      </c>
      <c r="CS60" s="9">
        <f t="shared" si="84"/>
        <v>0</v>
      </c>
      <c r="CT60" s="32">
        <f t="shared" si="85"/>
        <v>0</v>
      </c>
      <c r="CV60" s="3">
        <f t="shared" si="86"/>
        <v>0</v>
      </c>
      <c r="CX60" s="3">
        <f t="shared" si="31"/>
        <v>0</v>
      </c>
      <c r="CY60" s="3">
        <f t="shared" si="32"/>
        <v>0</v>
      </c>
      <c r="CZ60" s="3">
        <f t="shared" si="87"/>
        <v>0</v>
      </c>
      <c r="DA60" s="3">
        <f t="shared" si="34"/>
        <v>0</v>
      </c>
    </row>
    <row r="61" spans="1:105" s="31" customFormat="1" ht="16.5" customHeight="1" x14ac:dyDescent="0.3">
      <c r="A61" s="29"/>
      <c r="B61" s="30" t="s">
        <v>57</v>
      </c>
      <c r="D61" s="3">
        <v>2337552</v>
      </c>
      <c r="E61" s="3">
        <v>5589814</v>
      </c>
      <c r="F61" s="3">
        <f t="shared" si="59"/>
        <v>3252262</v>
      </c>
      <c r="G61" s="32">
        <f t="shared" si="60"/>
        <v>2.391311080994134</v>
      </c>
      <c r="I61" s="3">
        <v>0</v>
      </c>
      <c r="J61" s="221"/>
      <c r="K61" s="33">
        <v>4297011</v>
      </c>
      <c r="L61" s="255">
        <v>5235067</v>
      </c>
      <c r="M61" s="3">
        <f t="shared" si="57"/>
        <v>938056</v>
      </c>
      <c r="N61" s="32">
        <f t="shared" si="2"/>
        <v>1.2183043050157423</v>
      </c>
      <c r="P61" s="3">
        <v>9792078</v>
      </c>
      <c r="R61" s="3">
        <v>1622763</v>
      </c>
      <c r="S61" s="223">
        <v>2320360</v>
      </c>
      <c r="T61" s="3">
        <f t="shared" si="61"/>
        <v>697597</v>
      </c>
      <c r="U61" s="32">
        <f t="shared" si="62"/>
        <v>1.4298822440491927</v>
      </c>
      <c r="W61" s="3">
        <v>2202551</v>
      </c>
      <c r="Y61" s="3">
        <v>1780072</v>
      </c>
      <c r="Z61" s="223">
        <v>0</v>
      </c>
      <c r="AA61" s="3">
        <f t="shared" si="63"/>
        <v>-1780072</v>
      </c>
      <c r="AB61" s="32">
        <f t="shared" si="64"/>
        <v>0</v>
      </c>
      <c r="AD61" s="3"/>
      <c r="AF61" s="3">
        <v>1793871</v>
      </c>
      <c r="AG61" s="3">
        <v>8230545</v>
      </c>
      <c r="AH61" s="3">
        <f t="shared" si="65"/>
        <v>6436674</v>
      </c>
      <c r="AI61" s="32">
        <f t="shared" si="66"/>
        <v>4.5881476427234738</v>
      </c>
      <c r="AK61" s="3">
        <v>3835838</v>
      </c>
      <c r="AM61" s="3">
        <v>1813190</v>
      </c>
      <c r="AN61" s="222">
        <v>1848940</v>
      </c>
      <c r="AO61" s="3">
        <f t="shared" si="67"/>
        <v>35750</v>
      </c>
      <c r="AP61" s="32">
        <f t="shared" si="68"/>
        <v>1.0197166320131923</v>
      </c>
      <c r="AR61" s="3">
        <v>2077011</v>
      </c>
      <c r="AT61" s="3">
        <v>1901503</v>
      </c>
      <c r="AU61" s="3">
        <v>258016</v>
      </c>
      <c r="AV61" s="3">
        <f t="shared" si="69"/>
        <v>-1643487</v>
      </c>
      <c r="AW61" s="32">
        <f t="shared" si="70"/>
        <v>0.13569055636514904</v>
      </c>
      <c r="AY61" s="3">
        <v>2643222</v>
      </c>
      <c r="BA61" s="3">
        <v>2420346</v>
      </c>
      <c r="BB61" s="222">
        <v>6510369</v>
      </c>
      <c r="BC61" s="222">
        <f t="shared" si="71"/>
        <v>4090023</v>
      </c>
      <c r="BD61" s="32">
        <f t="shared" si="72"/>
        <v>2.6898505420299412</v>
      </c>
      <c r="BF61" s="3">
        <v>3684055</v>
      </c>
      <c r="BH61" s="3">
        <v>2067091</v>
      </c>
      <c r="BI61" s="222">
        <v>552077</v>
      </c>
      <c r="BJ61" s="222">
        <f t="shared" si="73"/>
        <v>-1515014</v>
      </c>
      <c r="BK61" s="32">
        <f t="shared" si="74"/>
        <v>0.26707919486853748</v>
      </c>
      <c r="BM61" s="3">
        <v>1207858</v>
      </c>
      <c r="BO61" s="3">
        <v>2279596</v>
      </c>
      <c r="BP61" s="3">
        <v>3573892</v>
      </c>
      <c r="BQ61" s="3">
        <f t="shared" si="75"/>
        <v>1294296</v>
      </c>
      <c r="BR61" s="32">
        <f t="shared" si="76"/>
        <v>1.5677742898303033</v>
      </c>
      <c r="BT61" s="3">
        <f>3500000-2000000</f>
        <v>1500000</v>
      </c>
      <c r="BV61" s="3">
        <v>2240959</v>
      </c>
      <c r="BW61" s="34">
        <v>7308270</v>
      </c>
      <c r="BX61" s="3">
        <f t="shared" si="77"/>
        <v>5067311</v>
      </c>
      <c r="BY61" s="32">
        <f t="shared" si="78"/>
        <v>3.2612243240505516</v>
      </c>
      <c r="CA61" s="3">
        <v>3369883</v>
      </c>
      <c r="CC61" s="3">
        <v>3044061</v>
      </c>
      <c r="CD61" s="3">
        <v>6450000</v>
      </c>
      <c r="CE61" s="9">
        <f t="shared" si="58"/>
        <v>3405939</v>
      </c>
      <c r="CF61" s="32">
        <f t="shared" si="79"/>
        <v>2.1188800093033615</v>
      </c>
      <c r="CH61" s="3">
        <v>2393547</v>
      </c>
      <c r="CJ61" s="225">
        <f t="shared" si="80"/>
        <v>27598015</v>
      </c>
      <c r="CK61" s="3">
        <f t="shared" si="80"/>
        <v>47877350</v>
      </c>
      <c r="CL61" s="3">
        <f t="shared" si="81"/>
        <v>16873396</v>
      </c>
      <c r="CM61" s="32">
        <f t="shared" si="82"/>
        <v>1.7348113623389219</v>
      </c>
      <c r="CO61" s="3">
        <f t="shared" si="26"/>
        <v>27836160</v>
      </c>
      <c r="CQ61" s="3">
        <v>27598015</v>
      </c>
      <c r="CR61" s="3">
        <f t="shared" si="83"/>
        <v>47877350</v>
      </c>
      <c r="CS61" s="9">
        <f t="shared" si="84"/>
        <v>20279335</v>
      </c>
      <c r="CT61" s="32">
        <f t="shared" si="85"/>
        <v>1.7348113623389219</v>
      </c>
      <c r="CV61" s="3">
        <f t="shared" si="86"/>
        <v>32706043</v>
      </c>
      <c r="CX61" s="3">
        <f t="shared" si="31"/>
        <v>7564616</v>
      </c>
      <c r="CY61" s="3">
        <f t="shared" si="32"/>
        <v>7564616</v>
      </c>
      <c r="CZ61" s="3">
        <f t="shared" si="87"/>
        <v>7564616</v>
      </c>
      <c r="DA61" s="3">
        <f t="shared" si="34"/>
        <v>55441966</v>
      </c>
    </row>
    <row r="62" spans="1:105" s="31" customFormat="1" x14ac:dyDescent="0.3">
      <c r="A62" s="265"/>
      <c r="B62" s="266" t="s">
        <v>58</v>
      </c>
      <c r="C62" s="267"/>
      <c r="D62" s="268">
        <f>+D52+D53+D54+D55+D56+D57+D58+D59+D60+D61</f>
        <v>18593169</v>
      </c>
      <c r="E62" s="268">
        <f>+E52+E53+E54+E55+E56+E57+E58+E59+E60+E61</f>
        <v>25420483</v>
      </c>
      <c r="F62" s="268">
        <f>+F52+F53+F54+F55+F56+F57+F58+F59+F60+F61</f>
        <v>6827314</v>
      </c>
      <c r="G62" s="269">
        <f t="shared" si="60"/>
        <v>1.3671947477054611</v>
      </c>
      <c r="H62" s="267"/>
      <c r="I62" s="270">
        <f>+I52+I53+I54+I55+I56+I57+I58+I59+I60+I61</f>
        <v>15890471</v>
      </c>
      <c r="J62" s="267"/>
      <c r="K62" s="268">
        <f>+K52+K53+K54+K55+K56+K57+K58+K59+K60+K61</f>
        <v>23720681</v>
      </c>
      <c r="L62" s="268">
        <f>+L52+L53+L54+L55+L56+L57+L58+L59+L60+L61</f>
        <v>28522865</v>
      </c>
      <c r="M62" s="268">
        <f>+M52+M53+M54+M55+M56+M57+M58+M59+M60+M61</f>
        <v>4802184</v>
      </c>
      <c r="N62" s="269">
        <f t="shared" si="2"/>
        <v>1.202447138849007</v>
      </c>
      <c r="O62" s="267"/>
      <c r="P62" s="270">
        <f>+P52+P53+P54+P55+P56+P57+P58+P59+P60+P61</f>
        <v>28772785</v>
      </c>
      <c r="Q62" s="267"/>
      <c r="R62" s="268">
        <f>+R52+R53+R54+R55+R56+R57+R58+R59+R60+R61</f>
        <v>18370394</v>
      </c>
      <c r="S62" s="268">
        <f>+S52+S53+S54+S55+S56+S57+S58+S59+S60+S61</f>
        <v>22459959</v>
      </c>
      <c r="T62" s="268">
        <f>+T52+T53+T54+T55+T56+T57+T58+T59+T60+T61</f>
        <v>4089565</v>
      </c>
      <c r="U62" s="269">
        <f t="shared" si="62"/>
        <v>1.2226171632464715</v>
      </c>
      <c r="V62" s="267"/>
      <c r="W62" s="270">
        <f>+W52+W53+W54+W55+W56+W57+W58+W59+W60+W61</f>
        <v>18559577</v>
      </c>
      <c r="X62" s="267"/>
      <c r="Y62" s="268">
        <f>+Y52+Y53+Y54+Y55+Y56+Y57+Y58+Y59+Y60+Y61</f>
        <v>28093525</v>
      </c>
      <c r="Z62" s="268">
        <f>+Z52+Z53+Z54+Z55+Z56+Z57+Z58+Z59+Z60+Z61</f>
        <v>21750096</v>
      </c>
      <c r="AA62" s="268">
        <f>+AA52+AA53+AA54+AA55+AA56+AA57+AA58+AA59+AA60+AA61</f>
        <v>-6343429</v>
      </c>
      <c r="AB62" s="269">
        <f t="shared" si="64"/>
        <v>0.77420316603203054</v>
      </c>
      <c r="AC62" s="267"/>
      <c r="AD62" s="270">
        <f>+AD52+AD53+AD54+AD55+AD56+AD57+AD58+AD59+AD60+AD61</f>
        <v>25663506</v>
      </c>
      <c r="AE62" s="271"/>
      <c r="AF62" s="268">
        <f>+AF52+AF53+AF54+AF55+AF56+AF57+AF58+AF59+AF60+AF61</f>
        <v>22012091</v>
      </c>
      <c r="AG62" s="268">
        <f>+AG52+AG53+AG54+AG55+AG56+AG57+AG58+AG59+AG60+AG61</f>
        <v>31611920</v>
      </c>
      <c r="AH62" s="268">
        <f>+AH52+AH53+AH54+AH55+AH56+AH57+AH58+AH59+AH60+AH61</f>
        <v>9599829</v>
      </c>
      <c r="AI62" s="269">
        <f t="shared" si="66"/>
        <v>1.4361161781495451</v>
      </c>
      <c r="AJ62" s="267"/>
      <c r="AK62" s="268">
        <f>+AK52+AK53+AK54+AK55+AK56+AK57+AK58+AK59+AK60+AK61</f>
        <v>23580224</v>
      </c>
      <c r="AL62" s="267"/>
      <c r="AM62" s="268">
        <f>+AM52+AM53+AM54+AM55+AM56+AM57+AM58+AM59+AM60+AM61</f>
        <v>23312359</v>
      </c>
      <c r="AN62" s="268">
        <f>+AN52+AN53+AN54+AN55+AN56+AN57+AN58+AN59+AN60+AN61</f>
        <v>25445580</v>
      </c>
      <c r="AO62" s="268">
        <f>+AO52+AO53+AO54+AO55+AO56+AO57+AO58+AO59+AO60+AO61</f>
        <v>2133221</v>
      </c>
      <c r="AP62" s="269">
        <f t="shared" si="68"/>
        <v>1.0915060118969513</v>
      </c>
      <c r="AQ62" s="267"/>
      <c r="AR62" s="268">
        <f>+AR52+AR53+AR54+AR55+AR56+AR57+AR58+AR59+AR60+AR61</f>
        <v>23074699</v>
      </c>
      <c r="AS62" s="267"/>
      <c r="AT62" s="268">
        <f>+AT52+AT53+AT54+AT55+AT56+AT57+AT58+AT59+AT60+AT61</f>
        <v>21929105</v>
      </c>
      <c r="AU62" s="268">
        <f>+AU52+AU53+AU54+AU55+AU56+AU57+AU58+AU59+AU60+AU61</f>
        <v>21159034</v>
      </c>
      <c r="AV62" s="268">
        <f>+AV52+AV53+AV54+AV55+AV56+AV57+AV58+AV59+AV60+AV61</f>
        <v>-770071</v>
      </c>
      <c r="AW62" s="269">
        <f t="shared" si="70"/>
        <v>0.96488361016101665</v>
      </c>
      <c r="AX62" s="267"/>
      <c r="AY62" s="268">
        <f>+AY52+AY53+AY54+AY55+AY56+AY57+AY58+AY59+AY60+AY61</f>
        <v>22176852</v>
      </c>
      <c r="AZ62" s="267"/>
      <c r="BA62" s="268">
        <f>+BA52+BA53+BA54+BA55+BA56+BA57+BA58+BA59+BA60+BA61</f>
        <v>22861572</v>
      </c>
      <c r="BB62" s="268">
        <f>+BB52+BB53+BB54+BB55+BB56+BB57+BB58+BB59+BB60+BB61</f>
        <v>28199285</v>
      </c>
      <c r="BC62" s="268">
        <f>+BC52+BC53+BC54+BC55+BC56+BC57+BC58+BC59+BC60+BC61</f>
        <v>5337713</v>
      </c>
      <c r="BD62" s="269">
        <f t="shared" si="72"/>
        <v>1.233479701220896</v>
      </c>
      <c r="BE62" s="267"/>
      <c r="BF62" s="268">
        <f>+BF52+BF53+BF54+BF55+BF56+BF57+BF58+BF59+BF60+BF61</f>
        <v>23637140</v>
      </c>
      <c r="BG62" s="267"/>
      <c r="BH62" s="268">
        <f>+BH52+BH53+BH54+BH55+BH56+BH57+BH58+BH59+BH60+BH61</f>
        <v>19892709</v>
      </c>
      <c r="BI62" s="268">
        <f>+BI52+BI53+BI54+BI55+BI56+BI57+BI58+BI59+BI60+BI61</f>
        <v>20427482</v>
      </c>
      <c r="BJ62" s="268">
        <f>+BJ52+BJ53+BJ54+BJ55+BJ56+BJ57+BJ58+BJ59+BJ60+BJ61</f>
        <v>534773</v>
      </c>
      <c r="BK62" s="269">
        <f t="shared" si="74"/>
        <v>1.0268828644705956</v>
      </c>
      <c r="BL62" s="267"/>
      <c r="BM62" s="268">
        <f>+BM52+BM53+BM54+BM55+BM56+BM57+BM58+BM59+BM60+BM61</f>
        <v>18624739</v>
      </c>
      <c r="BN62" s="267"/>
      <c r="BO62" s="268">
        <f>+BO52+BO53+BO54+BO55+BO56+BO57+BO58+BO59+BO60+BO61</f>
        <v>19586312</v>
      </c>
      <c r="BP62" s="268">
        <f>+BP52+BP53+BP54+BP55+BP56+BP57+BP58+BP59+BP60+BP61</f>
        <v>20317155</v>
      </c>
      <c r="BQ62" s="268">
        <f>+BQ52+BQ53+BQ54+BQ55+BQ56+BQ57+BQ58+BQ59+BQ60+BQ61</f>
        <v>730843</v>
      </c>
      <c r="BR62" s="269">
        <f t="shared" si="76"/>
        <v>1.0373139670194165</v>
      </c>
      <c r="BS62" s="267"/>
      <c r="BT62" s="268">
        <f>+BT52+BT53+BT54+BT55+BT56+BT57+BT58+BT59+BT60+BT61</f>
        <v>18400055</v>
      </c>
      <c r="BU62" s="267"/>
      <c r="BV62" s="268">
        <f>+BV52+BV53+BV54+BV55+BV56+BV57+BV58+BV59+BV60+BV61</f>
        <v>20064556</v>
      </c>
      <c r="BW62" s="268">
        <f>+BW52+BW53+BW54+BW55+BW56+BW57+BW58+BW59+BW60+BW61</f>
        <v>25042010</v>
      </c>
      <c r="BX62" s="268">
        <f>+BX52+BX53+BX54+BX55+BX56+BX57+BX58+BX59+BX60+BX61</f>
        <v>4977454</v>
      </c>
      <c r="BY62" s="269">
        <f t="shared" si="78"/>
        <v>1.2480719732846319</v>
      </c>
      <c r="BZ62" s="267"/>
      <c r="CA62" s="268">
        <f>+CA52+CA53+CA54+CA55+CA56+CA57+CA58+CA59+CA60+CA61</f>
        <v>20790235</v>
      </c>
      <c r="CB62" s="267"/>
      <c r="CC62" s="268">
        <f>+CC52+CC53+CC54+CC55+CC56+CC57+CC58+CC59+CC60+CC61</f>
        <v>20020579</v>
      </c>
      <c r="CD62" s="268">
        <f>+CD52+CD53+CD54+CD55+CD56+CD57+CD58+CD59+CD60+CD61</f>
        <v>25053890</v>
      </c>
      <c r="CE62" s="268">
        <f>+CE52+CE53+CE54+CE55+CE56+CE57+CE58+CE59+CE60+CE61</f>
        <v>5033311</v>
      </c>
      <c r="CF62" s="269">
        <f t="shared" si="79"/>
        <v>1.2514068649063546</v>
      </c>
      <c r="CG62" s="267"/>
      <c r="CH62" s="268">
        <f>SUM(CH52:CH61)</f>
        <v>20597380</v>
      </c>
      <c r="CI62" s="267"/>
      <c r="CJ62" s="268">
        <f>SUM(CJ52:CJ61)</f>
        <v>258457052</v>
      </c>
      <c r="CK62" s="268">
        <f>SUM(CK52:CK61)</f>
        <v>295409759</v>
      </c>
      <c r="CL62" s="268">
        <f>SUM(CL52:CL61)</f>
        <v>31919396</v>
      </c>
      <c r="CM62" s="269">
        <f t="shared" si="82"/>
        <v>1.1429742648306613</v>
      </c>
      <c r="CN62" s="267"/>
      <c r="CO62" s="268">
        <f t="shared" si="26"/>
        <v>220577373</v>
      </c>
      <c r="CP62" s="267"/>
      <c r="CQ62" s="268">
        <f>SUM(CQ52:CQ61)</f>
        <v>258457052</v>
      </c>
      <c r="CR62" s="268">
        <f>SUM(CR52:CR61)</f>
        <v>295409759</v>
      </c>
      <c r="CS62" s="268">
        <f>SUM(CS52:CS61)</f>
        <v>36952707</v>
      </c>
      <c r="CT62" s="272">
        <f t="shared" si="85"/>
        <v>1.1429742648306613</v>
      </c>
      <c r="CU62" s="4"/>
      <c r="CV62" s="268">
        <f>SUM(CV52:CV61)</f>
        <v>259767663</v>
      </c>
      <c r="CW62" s="267"/>
      <c r="CX62" s="268">
        <f t="shared" si="31"/>
        <v>59671447</v>
      </c>
      <c r="CY62" s="10">
        <f t="shared" si="32"/>
        <v>59671447</v>
      </c>
      <c r="CZ62" s="10">
        <f t="shared" si="87"/>
        <v>59671447</v>
      </c>
      <c r="DA62" s="10">
        <f t="shared" si="34"/>
        <v>355081206</v>
      </c>
    </row>
    <row r="63" spans="1:105" s="26" customFormat="1" ht="16.5" customHeight="1" x14ac:dyDescent="0.3">
      <c r="A63" s="35">
        <v>44</v>
      </c>
      <c r="B63" s="36" t="s">
        <v>59</v>
      </c>
      <c r="D63" s="5">
        <f>+D64+D65</f>
        <v>8064953</v>
      </c>
      <c r="E63" s="5">
        <f>+E64+E65</f>
        <v>8042067</v>
      </c>
      <c r="F63" s="273">
        <f>+F64+F65</f>
        <v>-22886</v>
      </c>
      <c r="G63" s="263">
        <v>0.99719999999999998</v>
      </c>
      <c r="I63" s="5">
        <f>+I64+I65</f>
        <v>7316280</v>
      </c>
      <c r="J63" s="218"/>
      <c r="K63" s="5">
        <f>+K64+K65</f>
        <v>8064953</v>
      </c>
      <c r="L63" s="227">
        <f>+L64+L65</f>
        <v>8042067</v>
      </c>
      <c r="M63" s="273">
        <f>+M64+M65</f>
        <v>-22886</v>
      </c>
      <c r="N63" s="37">
        <f t="shared" si="2"/>
        <v>0.9971622897244411</v>
      </c>
      <c r="P63" s="5">
        <f>SUM(P64:P65)</f>
        <v>7316280</v>
      </c>
      <c r="R63" s="5"/>
      <c r="S63" s="227"/>
      <c r="T63" s="4">
        <f>S63-R63</f>
        <v>0</v>
      </c>
      <c r="U63" s="263">
        <f t="shared" si="62"/>
        <v>0</v>
      </c>
      <c r="W63" s="5">
        <f>SUM(W64:W65)</f>
        <v>7316280</v>
      </c>
      <c r="Y63" s="5"/>
      <c r="Z63" s="227"/>
      <c r="AA63" s="4"/>
      <c r="AB63" s="263"/>
      <c r="AD63" s="5">
        <f>SUM(AD64:AD65)</f>
        <v>7316280</v>
      </c>
      <c r="AF63" s="5"/>
      <c r="AG63" s="5"/>
      <c r="AH63" s="5"/>
      <c r="AI63" s="37"/>
      <c r="AK63" s="5">
        <f>SUM(AK64:AK65)</f>
        <v>7316280</v>
      </c>
      <c r="AM63" s="5"/>
      <c r="AN63" s="227"/>
      <c r="AO63" s="3">
        <f>AN63-AM63</f>
        <v>0</v>
      </c>
      <c r="AP63" s="37">
        <f t="shared" si="68"/>
        <v>0</v>
      </c>
      <c r="AR63" s="5">
        <f>SUM(AR64:AR65)</f>
        <v>7316280</v>
      </c>
      <c r="AT63" s="5"/>
      <c r="AU63" s="5"/>
      <c r="AV63" s="5"/>
      <c r="AW63" s="37">
        <f t="shared" si="70"/>
        <v>0</v>
      </c>
      <c r="AY63" s="5">
        <f>SUM(AY64:AY65)</f>
        <v>7316280</v>
      </c>
      <c r="BA63" s="5"/>
      <c r="BB63" s="227"/>
      <c r="BC63" s="227"/>
      <c r="BD63" s="37"/>
      <c r="BF63" s="5">
        <f>7322472.72
-6192.72</f>
        <v>7316280</v>
      </c>
      <c r="BH63" s="5"/>
      <c r="BI63" s="227"/>
      <c r="BJ63" s="227"/>
      <c r="BK63" s="37"/>
      <c r="BM63" s="5">
        <f>SUM(BM64:BM65)</f>
        <v>7316280</v>
      </c>
      <c r="BO63" s="5"/>
      <c r="BP63" s="5"/>
      <c r="BQ63" s="5"/>
      <c r="BR63" s="37"/>
      <c r="BT63" s="5">
        <f>SUM(BT64:BT65)</f>
        <v>7316278</v>
      </c>
      <c r="BV63" s="5"/>
      <c r="BW63" s="43"/>
      <c r="BX63" s="5"/>
      <c r="BY63" s="37"/>
      <c r="CA63" s="3"/>
      <c r="CC63" s="5"/>
      <c r="CD63" s="5"/>
      <c r="CE63" s="5"/>
      <c r="CF63" s="37"/>
      <c r="CH63" s="3"/>
      <c r="CJ63" s="228"/>
      <c r="CK63" s="5"/>
      <c r="CL63" s="4">
        <f>CK63-CJ63</f>
        <v>0</v>
      </c>
      <c r="CM63" s="37"/>
      <c r="CO63" s="3">
        <f t="shared" si="26"/>
        <v>65846520</v>
      </c>
      <c r="CQ63" s="4"/>
      <c r="CR63" s="5"/>
      <c r="CS63" s="5"/>
      <c r="CT63" s="37"/>
      <c r="CV63" s="5"/>
      <c r="CX63" s="5">
        <f t="shared" si="31"/>
        <v>0</v>
      </c>
      <c r="CY63" s="5">
        <f t="shared" si="32"/>
        <v>0</v>
      </c>
      <c r="CZ63" s="5">
        <f t="shared" si="87"/>
        <v>0</v>
      </c>
      <c r="DA63" s="5">
        <f t="shared" si="34"/>
        <v>0</v>
      </c>
    </row>
    <row r="64" spans="1:105" s="31" customFormat="1" ht="16.5" customHeight="1" x14ac:dyDescent="0.3">
      <c r="A64" s="29"/>
      <c r="B64" s="30" t="s">
        <v>60</v>
      </c>
      <c r="D64" s="3">
        <v>742124</v>
      </c>
      <c r="E64" s="3">
        <v>724453</v>
      </c>
      <c r="F64" s="3">
        <f>E64-D64</f>
        <v>-17671</v>
      </c>
      <c r="G64" s="32">
        <f>IFERROR(E64/D64,0)</f>
        <v>0.97618861537964008</v>
      </c>
      <c r="I64" s="3">
        <v>661369</v>
      </c>
      <c r="J64" s="221"/>
      <c r="K64" s="33">
        <v>742124</v>
      </c>
      <c r="L64" s="255">
        <v>724453</v>
      </c>
      <c r="M64" s="3">
        <f>L64-K64</f>
        <v>-17671</v>
      </c>
      <c r="N64" s="32">
        <f t="shared" si="2"/>
        <v>0.97618861537964008</v>
      </c>
      <c r="P64" s="274">
        <v>661369</v>
      </c>
      <c r="R64" s="3">
        <v>742124</v>
      </c>
      <c r="S64" s="223">
        <v>724453</v>
      </c>
      <c r="T64" s="3">
        <f>S64-R64</f>
        <v>-17671</v>
      </c>
      <c r="U64" s="32">
        <f t="shared" si="62"/>
        <v>0.97618861537964008</v>
      </c>
      <c r="W64" s="3">
        <v>661369</v>
      </c>
      <c r="Y64" s="3">
        <v>742124</v>
      </c>
      <c r="Z64" s="223">
        <v>724453</v>
      </c>
      <c r="AA64" s="3">
        <f>Z64-Y64</f>
        <v>-17671</v>
      </c>
      <c r="AB64" s="32">
        <f>IFERROR(Z64/Y64,0)</f>
        <v>0.97618861537964008</v>
      </c>
      <c r="AD64" s="3">
        <v>661369</v>
      </c>
      <c r="AF64" s="3">
        <v>742124</v>
      </c>
      <c r="AG64" s="3">
        <v>724453</v>
      </c>
      <c r="AH64" s="3">
        <f>AG64-AF64</f>
        <v>-17671</v>
      </c>
      <c r="AI64" s="32">
        <f t="shared" ref="AI64:AI70" si="88">IFERROR(AG64/AF64,0)</f>
        <v>0.97618861537964008</v>
      </c>
      <c r="AK64" s="3">
        <v>661369</v>
      </c>
      <c r="AM64" s="3">
        <v>742124</v>
      </c>
      <c r="AN64" s="222">
        <v>724453</v>
      </c>
      <c r="AO64" s="3">
        <f>AN64-AM64</f>
        <v>-17671</v>
      </c>
      <c r="AP64" s="32">
        <f t="shared" si="68"/>
        <v>0.97618861537964008</v>
      </c>
      <c r="AR64" s="3">
        <v>661369</v>
      </c>
      <c r="AT64" s="3">
        <v>742124</v>
      </c>
      <c r="AU64" s="3">
        <v>724453</v>
      </c>
      <c r="AV64" s="3">
        <f>AU64-AT64</f>
        <v>-17671</v>
      </c>
      <c r="AW64" s="32">
        <f t="shared" si="70"/>
        <v>0.97618861537964008</v>
      </c>
      <c r="AY64" s="3">
        <v>661369</v>
      </c>
      <c r="BA64" s="3">
        <v>742124</v>
      </c>
      <c r="BB64" s="222">
        <v>724453</v>
      </c>
      <c r="BC64" s="222">
        <f>BB64-BA64</f>
        <v>-17671</v>
      </c>
      <c r="BD64" s="32">
        <f>IFERROR(BB64/BA64,0)</f>
        <v>0.97618861537964008</v>
      </c>
      <c r="BF64" s="3">
        <f>667561.72-6192.72</f>
        <v>661369</v>
      </c>
      <c r="BH64" s="3">
        <v>742124</v>
      </c>
      <c r="BI64" s="222">
        <v>724453</v>
      </c>
      <c r="BJ64" s="222">
        <f>BI64-BH64</f>
        <v>-17671</v>
      </c>
      <c r="BK64" s="32">
        <f>IFERROR(BI64/BH64,0)</f>
        <v>0.97618861537964008</v>
      </c>
      <c r="BM64" s="3">
        <v>661369</v>
      </c>
      <c r="BO64" s="3">
        <v>742126</v>
      </c>
      <c r="BP64" s="3">
        <v>724455</v>
      </c>
      <c r="BQ64" s="3">
        <f>BP64-BO64</f>
        <v>-17671</v>
      </c>
      <c r="BR64" s="32">
        <f>IFERROR(BP64/BO64,0)</f>
        <v>0.97618867955037281</v>
      </c>
      <c r="BT64" s="3">
        <f>661367</f>
        <v>661367</v>
      </c>
      <c r="BV64" s="3">
        <v>0</v>
      </c>
      <c r="BW64" s="34">
        <v>0</v>
      </c>
      <c r="BX64" s="3">
        <f>BW64-BV64</f>
        <v>0</v>
      </c>
      <c r="BY64" s="32">
        <f>IFERROR(BW64/BV64,0)</f>
        <v>0</v>
      </c>
      <c r="CA64" s="3">
        <v>0</v>
      </c>
      <c r="CC64" s="3">
        <v>0</v>
      </c>
      <c r="CD64" s="3">
        <v>0</v>
      </c>
      <c r="CE64" s="3">
        <f>CD64-CC64</f>
        <v>0</v>
      </c>
      <c r="CF64" s="32">
        <f>IFERROR(CD64/CC64,0)</f>
        <v>0</v>
      </c>
      <c r="CH64" s="3"/>
      <c r="CJ64" s="225">
        <f>+D64+K64+R64+Y64+AF64+AM64+AT64+BA64+BH64+BO64+BV64+CC64</f>
        <v>7421242</v>
      </c>
      <c r="CK64" s="3">
        <f>+E64+L64+S64+Z64+AG64+AN64+AU64+BB64+BI64+BP64+BW64+CD64</f>
        <v>7244532</v>
      </c>
      <c r="CL64" s="3">
        <f>CK64-CJ64</f>
        <v>-176710</v>
      </c>
      <c r="CM64" s="32">
        <f>IFERROR(CK64/CJ64,0)</f>
        <v>0.97618862179672894</v>
      </c>
      <c r="CO64" s="3">
        <f t="shared" si="26"/>
        <v>5952321</v>
      </c>
      <c r="CQ64" s="3">
        <v>7421242</v>
      </c>
      <c r="CR64" s="3">
        <f>+E64+L64+S64+Z64+AG64+AN64+AU64+BB64+BI64+BP64+BW64+CD64</f>
        <v>7244532</v>
      </c>
      <c r="CS64" s="9">
        <f>+CR64-CQ64</f>
        <v>-176710</v>
      </c>
      <c r="CT64" s="32">
        <f t="shared" ref="CT64:CT69" si="89">IFERROR(CR64/CQ64,0)</f>
        <v>0.97618862179672894</v>
      </c>
      <c r="CV64" s="3">
        <f>+I64+P64+W64+AD64+AK64+AR64+AY64+BF64+BM64+BT64+CA64+CH64</f>
        <v>6613688</v>
      </c>
      <c r="CX64" s="3">
        <f t="shared" si="31"/>
        <v>742126</v>
      </c>
      <c r="CY64" s="3">
        <f t="shared" si="32"/>
        <v>742126</v>
      </c>
      <c r="CZ64" s="3">
        <f t="shared" si="87"/>
        <v>742126</v>
      </c>
      <c r="DA64" s="3">
        <f t="shared" si="34"/>
        <v>7986658</v>
      </c>
    </row>
    <row r="65" spans="1:105" s="31" customFormat="1" ht="16.5" customHeight="1" x14ac:dyDescent="0.3">
      <c r="A65" s="29"/>
      <c r="B65" s="30" t="s">
        <v>61</v>
      </c>
      <c r="D65" s="3">
        <v>7322829</v>
      </c>
      <c r="E65" s="3">
        <v>7317614</v>
      </c>
      <c r="F65" s="3">
        <f>E65-D65</f>
        <v>-5215</v>
      </c>
      <c r="G65" s="32">
        <f>IFERROR(E65/D65,0)</f>
        <v>0.99928784353697186</v>
      </c>
      <c r="I65" s="3">
        <v>6654911</v>
      </c>
      <c r="J65" s="221"/>
      <c r="K65" s="33">
        <v>7322829</v>
      </c>
      <c r="L65" s="222">
        <v>7317614</v>
      </c>
      <c r="M65" s="3">
        <f>L65-K65</f>
        <v>-5215</v>
      </c>
      <c r="N65" s="32">
        <f t="shared" si="2"/>
        <v>0.99928784353697186</v>
      </c>
      <c r="P65" s="274">
        <f>13309822-6654911</f>
        <v>6654911</v>
      </c>
      <c r="R65" s="3">
        <v>7322829</v>
      </c>
      <c r="S65" s="223">
        <v>7317614</v>
      </c>
      <c r="T65" s="3">
        <f>S65-R65</f>
        <v>-5215</v>
      </c>
      <c r="U65" s="32">
        <f t="shared" si="62"/>
        <v>0.99928784353697186</v>
      </c>
      <c r="W65" s="3">
        <v>6654911</v>
      </c>
      <c r="Y65" s="3">
        <v>7322829</v>
      </c>
      <c r="Z65" s="223">
        <v>7317614</v>
      </c>
      <c r="AA65" s="3">
        <f>Z65-Y65</f>
        <v>-5215</v>
      </c>
      <c r="AB65" s="32">
        <f>IFERROR(Z65/Y65,0)</f>
        <v>0.99928784353697186</v>
      </c>
      <c r="AD65" s="3">
        <v>6654911</v>
      </c>
      <c r="AF65" s="3">
        <v>7322829</v>
      </c>
      <c r="AG65" s="3">
        <v>7317614</v>
      </c>
      <c r="AH65" s="3">
        <f>AG65-AF65</f>
        <v>-5215</v>
      </c>
      <c r="AI65" s="32">
        <f t="shared" si="88"/>
        <v>0.99928784353697186</v>
      </c>
      <c r="AK65" s="3">
        <v>6654911</v>
      </c>
      <c r="AM65" s="3">
        <v>7322829</v>
      </c>
      <c r="AN65" s="222">
        <v>7317614</v>
      </c>
      <c r="AO65" s="3">
        <f>AN65-AM65</f>
        <v>-5215</v>
      </c>
      <c r="AP65" s="32">
        <f t="shared" si="68"/>
        <v>0.99928784353697186</v>
      </c>
      <c r="AR65" s="3">
        <v>6654911</v>
      </c>
      <c r="AT65" s="3">
        <v>7322829</v>
      </c>
      <c r="AU65" s="3">
        <v>7317614</v>
      </c>
      <c r="AV65" s="3">
        <f>AU65-AT65</f>
        <v>-5215</v>
      </c>
      <c r="AW65" s="32">
        <f t="shared" si="70"/>
        <v>0.99928784353697186</v>
      </c>
      <c r="AY65" s="3">
        <v>6654911</v>
      </c>
      <c r="BA65" s="3">
        <v>7322829</v>
      </c>
      <c r="BB65" s="222">
        <v>7317614</v>
      </c>
      <c r="BC65" s="222">
        <f>BB65-BA65</f>
        <v>-5215</v>
      </c>
      <c r="BD65" s="32">
        <f>IFERROR(BB65/BA65,0)</f>
        <v>0.99928784353697186</v>
      </c>
      <c r="BF65" s="3">
        <v>6654911</v>
      </c>
      <c r="BH65" s="3">
        <v>7322829</v>
      </c>
      <c r="BI65" s="222">
        <v>7317614</v>
      </c>
      <c r="BJ65" s="222">
        <f>BI65-BH65</f>
        <v>-5215</v>
      </c>
      <c r="BK65" s="32">
        <f>IFERROR(BI65/BH65,0)</f>
        <v>0.99928784353697186</v>
      </c>
      <c r="BM65" s="3">
        <v>6654911</v>
      </c>
      <c r="BO65" s="3">
        <v>7322829</v>
      </c>
      <c r="BP65" s="3">
        <v>7317614</v>
      </c>
      <c r="BQ65" s="3">
        <f>BP65-BO65</f>
        <v>-5215</v>
      </c>
      <c r="BR65" s="32">
        <f>IFERROR(BP65/BO65,0)</f>
        <v>0.99928784353697186</v>
      </c>
      <c r="BT65" s="3">
        <v>6654911</v>
      </c>
      <c r="BV65" s="3">
        <v>7322829</v>
      </c>
      <c r="BW65" s="34">
        <v>7317614</v>
      </c>
      <c r="BX65" s="3">
        <f>BW65-BV65</f>
        <v>-5215</v>
      </c>
      <c r="BY65" s="32">
        <f>IFERROR(BW65/BV65,0)</f>
        <v>0.99928784353697186</v>
      </c>
      <c r="CA65" s="3">
        <f>6654911</f>
        <v>6654911</v>
      </c>
      <c r="CC65" s="3">
        <v>7322827</v>
      </c>
      <c r="CD65" s="3">
        <v>7317613</v>
      </c>
      <c r="CE65" s="3">
        <f>CD65-CC65</f>
        <v>-5214</v>
      </c>
      <c r="CF65" s="32">
        <f>IFERROR(CD65/CC65,0)</f>
        <v>0.99928797990175111</v>
      </c>
      <c r="CH65" s="3">
        <v>6654905</v>
      </c>
      <c r="CJ65" s="225">
        <f>+D65+K65+R65+Y65+AF65+AM65+AT65+BA65+BH65+BO65+BV65+CC65</f>
        <v>87873946</v>
      </c>
      <c r="CK65" s="3">
        <f>+E65+L65+S65+Z65+AG65+AN65+AU65+BB65+BI65+BP65+BW65+CD65</f>
        <v>87811367</v>
      </c>
      <c r="CL65" s="3">
        <f>CK65-CJ65</f>
        <v>-62579</v>
      </c>
      <c r="CM65" s="32">
        <f>IFERROR(CK65/CJ65,0)</f>
        <v>0.9992878549007006</v>
      </c>
      <c r="CO65" s="3">
        <f t="shared" si="26"/>
        <v>66549104</v>
      </c>
      <c r="CQ65" s="3">
        <v>87873946</v>
      </c>
      <c r="CR65" s="3">
        <f>+E65+L65+S65+Z65+AG65+AN65+AU65+BB65+BI65+BP65+BW65+CD65</f>
        <v>87811367</v>
      </c>
      <c r="CS65" s="9">
        <f>+CR65-CQ65</f>
        <v>-62579</v>
      </c>
      <c r="CT65" s="32">
        <f t="shared" si="89"/>
        <v>0.9992878549007006</v>
      </c>
      <c r="CV65" s="3">
        <f>+I65+P65+W65+AD65+AK65+AR65+AY65+BF65+BM65+BT65+CA65+CH65</f>
        <v>79858926</v>
      </c>
      <c r="CX65" s="3">
        <f t="shared" si="31"/>
        <v>21968485</v>
      </c>
      <c r="CY65" s="3">
        <f t="shared" si="32"/>
        <v>21968485</v>
      </c>
      <c r="CZ65" s="3">
        <f t="shared" si="87"/>
        <v>21968485</v>
      </c>
      <c r="DA65" s="3">
        <f t="shared" si="34"/>
        <v>109779852</v>
      </c>
    </row>
    <row r="66" spans="1:105" s="31" customFormat="1" x14ac:dyDescent="0.3">
      <c r="A66" s="265"/>
      <c r="B66" s="266" t="s">
        <v>62</v>
      </c>
      <c r="C66" s="267"/>
      <c r="D66" s="268">
        <f>+D64+D65</f>
        <v>8064953</v>
      </c>
      <c r="E66" s="268">
        <f>+E64+E65</f>
        <v>8042067</v>
      </c>
      <c r="F66" s="268">
        <f>+F64+F65</f>
        <v>-22886</v>
      </c>
      <c r="G66" s="269">
        <f>IFERROR(E66/D66,0)</f>
        <v>0.9971622897244411</v>
      </c>
      <c r="H66" s="267"/>
      <c r="I66" s="270">
        <f>+I64+I65</f>
        <v>7316280</v>
      </c>
      <c r="J66" s="267"/>
      <c r="K66" s="268">
        <f>+K64+K65</f>
        <v>8064953</v>
      </c>
      <c r="L66" s="268">
        <f>+L64+L65</f>
        <v>8042067</v>
      </c>
      <c r="M66" s="268">
        <f>+M64+M65</f>
        <v>-22886</v>
      </c>
      <c r="N66" s="269">
        <f t="shared" si="2"/>
        <v>0.9971622897244411</v>
      </c>
      <c r="O66" s="267"/>
      <c r="P66" s="270">
        <f>+P64+P65</f>
        <v>7316280</v>
      </c>
      <c r="Q66" s="267"/>
      <c r="R66" s="268">
        <f>+R64+R65</f>
        <v>8064953</v>
      </c>
      <c r="S66" s="268">
        <f>+S64+S65</f>
        <v>8042067</v>
      </c>
      <c r="T66" s="268">
        <f>+T64+T65</f>
        <v>-22886</v>
      </c>
      <c r="U66" s="269">
        <f t="shared" si="62"/>
        <v>0.9971622897244411</v>
      </c>
      <c r="V66" s="267"/>
      <c r="W66" s="270">
        <f>+W64+W65</f>
        <v>7316280</v>
      </c>
      <c r="X66" s="267"/>
      <c r="Y66" s="268">
        <f>+Y64+Y65</f>
        <v>8064953</v>
      </c>
      <c r="Z66" s="268">
        <f>+Z64+Z65</f>
        <v>8042067</v>
      </c>
      <c r="AA66" s="268">
        <f>+AA64+AA65</f>
        <v>-22886</v>
      </c>
      <c r="AB66" s="269">
        <f>IFERROR(Z66/Y66,0)</f>
        <v>0.9971622897244411</v>
      </c>
      <c r="AC66" s="267"/>
      <c r="AD66" s="270">
        <f>+AD64+AD65</f>
        <v>7316280</v>
      </c>
      <c r="AE66" s="271"/>
      <c r="AF66" s="268">
        <f>+AF64+AF65</f>
        <v>8064953</v>
      </c>
      <c r="AG66" s="268">
        <f>+AG64+AG65</f>
        <v>8042067</v>
      </c>
      <c r="AH66" s="268">
        <f>+AH64+AH65</f>
        <v>-22886</v>
      </c>
      <c r="AI66" s="269">
        <f t="shared" si="88"/>
        <v>0.9971622897244411</v>
      </c>
      <c r="AJ66" s="267"/>
      <c r="AK66" s="268">
        <f>+AK64+AK65</f>
        <v>7316280</v>
      </c>
      <c r="AL66" s="267"/>
      <c r="AM66" s="268">
        <f>+AM64+AM65</f>
        <v>8064953</v>
      </c>
      <c r="AN66" s="268">
        <f>+AN64+AN65</f>
        <v>8042067</v>
      </c>
      <c r="AO66" s="268">
        <f>+AO64+AO65</f>
        <v>-22886</v>
      </c>
      <c r="AP66" s="269">
        <f t="shared" si="68"/>
        <v>0.9971622897244411</v>
      </c>
      <c r="AQ66" s="267"/>
      <c r="AR66" s="268">
        <f>+AR64+AR65</f>
        <v>7316280</v>
      </c>
      <c r="AS66" s="267"/>
      <c r="AT66" s="268">
        <f>+AT64+AT65</f>
        <v>8064953</v>
      </c>
      <c r="AU66" s="268">
        <f>+AU64+AU65</f>
        <v>8042067</v>
      </c>
      <c r="AV66" s="268">
        <f>+AV64+AV65</f>
        <v>-22886</v>
      </c>
      <c r="AW66" s="269">
        <f t="shared" si="70"/>
        <v>0.9971622897244411</v>
      </c>
      <c r="AX66" s="267"/>
      <c r="AY66" s="268">
        <f>+AY64+AY65</f>
        <v>7316280</v>
      </c>
      <c r="AZ66" s="267"/>
      <c r="BA66" s="268">
        <f>+BA64+BA65</f>
        <v>8064953</v>
      </c>
      <c r="BB66" s="268">
        <f>+BB64+BB65</f>
        <v>8042067</v>
      </c>
      <c r="BC66" s="268">
        <f>+BC64+BC65</f>
        <v>-22886</v>
      </c>
      <c r="BD66" s="269">
        <f>IFERROR(BB66/BA66,0)</f>
        <v>0.9971622897244411</v>
      </c>
      <c r="BE66" s="267"/>
      <c r="BF66" s="268">
        <f>+BF64+BF65</f>
        <v>7316280</v>
      </c>
      <c r="BG66" s="267"/>
      <c r="BH66" s="268">
        <f>+BH64+BH65</f>
        <v>8064953</v>
      </c>
      <c r="BI66" s="268">
        <f>+BI64+BI65</f>
        <v>8042067</v>
      </c>
      <c r="BJ66" s="268">
        <f>+BJ64+BJ65</f>
        <v>-22886</v>
      </c>
      <c r="BK66" s="269">
        <f>IFERROR(BI66/BH66,0)</f>
        <v>0.9971622897244411</v>
      </c>
      <c r="BL66" s="267"/>
      <c r="BM66" s="268">
        <f>+BM64+BM65</f>
        <v>7316280</v>
      </c>
      <c r="BN66" s="267"/>
      <c r="BO66" s="268">
        <f>+BO64+BO65</f>
        <v>8064955</v>
      </c>
      <c r="BP66" s="268">
        <f>+BP64+BP65</f>
        <v>8042069</v>
      </c>
      <c r="BQ66" s="268">
        <f>+BQ64+BQ65</f>
        <v>-22886</v>
      </c>
      <c r="BR66" s="269">
        <f>IFERROR(BP66/BO66,0)</f>
        <v>0.99716229042815485</v>
      </c>
      <c r="BS66" s="267"/>
      <c r="BT66" s="268">
        <f>+BT64+BT65</f>
        <v>7316278</v>
      </c>
      <c r="BU66" s="267"/>
      <c r="BV66" s="268">
        <f>+BV64+BV65</f>
        <v>7322829</v>
      </c>
      <c r="BW66" s="268">
        <f>+BW64+BW65</f>
        <v>7317614</v>
      </c>
      <c r="BX66" s="268">
        <f>+BX64+BX65</f>
        <v>-5215</v>
      </c>
      <c r="BY66" s="269">
        <f>IFERROR(BW66/BV66,0)</f>
        <v>0.99928784353697186</v>
      </c>
      <c r="BZ66" s="267"/>
      <c r="CA66" s="268">
        <f>+CA64+CA65</f>
        <v>6654911</v>
      </c>
      <c r="CB66" s="267"/>
      <c r="CC66" s="268">
        <f>+CC64+CC65</f>
        <v>7322827</v>
      </c>
      <c r="CD66" s="268">
        <f>+CD64+CD65</f>
        <v>7317613</v>
      </c>
      <c r="CE66" s="268">
        <f>+CE64+CE65</f>
        <v>-5214</v>
      </c>
      <c r="CF66" s="269">
        <f>IFERROR(CD66/CC66,0)</f>
        <v>0.99928797990175111</v>
      </c>
      <c r="CG66" s="267"/>
      <c r="CH66" s="268">
        <f>+CH64+CH65</f>
        <v>6654905</v>
      </c>
      <c r="CI66" s="267"/>
      <c r="CJ66" s="268">
        <f>+CJ64+CJ65</f>
        <v>95295188</v>
      </c>
      <c r="CK66" s="268">
        <f>+CK64+CK65</f>
        <v>95055899</v>
      </c>
      <c r="CL66" s="268">
        <f>+CL64+CL65</f>
        <v>-239289</v>
      </c>
      <c r="CM66" s="269">
        <f>IFERROR(CK66/CJ66,0)</f>
        <v>0.99748897079672061</v>
      </c>
      <c r="CN66" s="267"/>
      <c r="CO66" s="268">
        <f t="shared" si="26"/>
        <v>72501425</v>
      </c>
      <c r="CP66" s="267"/>
      <c r="CQ66" s="268">
        <f>+CQ64+CQ65</f>
        <v>95295188</v>
      </c>
      <c r="CR66" s="268">
        <f>+CR64+CR65</f>
        <v>95055899</v>
      </c>
      <c r="CS66" s="268">
        <f>+CS64+CS65</f>
        <v>-239289</v>
      </c>
      <c r="CT66" s="272">
        <f t="shared" si="89"/>
        <v>0.99748897079672061</v>
      </c>
      <c r="CU66" s="4"/>
      <c r="CV66" s="268">
        <f>+CV64+CV65</f>
        <v>86472614</v>
      </c>
      <c r="CW66" s="267"/>
      <c r="CX66" s="268">
        <f t="shared" si="31"/>
        <v>22710611</v>
      </c>
      <c r="CY66" s="10">
        <f t="shared" si="32"/>
        <v>22710611</v>
      </c>
      <c r="CZ66" s="10">
        <f t="shared" si="87"/>
        <v>22710611</v>
      </c>
      <c r="DA66" s="10">
        <f t="shared" si="34"/>
        <v>117766510</v>
      </c>
    </row>
    <row r="67" spans="1:105" s="26" customFormat="1" ht="16.5" customHeight="1" x14ac:dyDescent="0.3">
      <c r="A67" s="35">
        <v>45</v>
      </c>
      <c r="B67" s="36" t="s">
        <v>99</v>
      </c>
      <c r="D67" s="4"/>
      <c r="E67" s="4"/>
      <c r="F67" s="4"/>
      <c r="G67" s="275"/>
      <c r="I67" s="4">
        <v>9063499.6999999993</v>
      </c>
      <c r="J67" s="218"/>
      <c r="K67" s="33">
        <f>+K68+K69+K70</f>
        <v>0</v>
      </c>
      <c r="L67" s="226"/>
      <c r="M67" s="3"/>
      <c r="N67" s="263">
        <f t="shared" si="2"/>
        <v>0</v>
      </c>
      <c r="P67" s="4">
        <v>616225.89</v>
      </c>
      <c r="R67" s="3">
        <v>0</v>
      </c>
      <c r="S67" s="276"/>
      <c r="T67" s="3"/>
      <c r="U67" s="32">
        <f t="shared" si="62"/>
        <v>0</v>
      </c>
      <c r="W67" s="4">
        <v>14306586.109999999</v>
      </c>
      <c r="Y67" s="4"/>
      <c r="Z67" s="276"/>
      <c r="AA67" s="4"/>
      <c r="AB67" s="263"/>
      <c r="AD67" s="4">
        <f>30660301.82-15329500</f>
        <v>15330801.82</v>
      </c>
      <c r="AF67" s="4"/>
      <c r="AG67" s="4"/>
      <c r="AH67" s="4"/>
      <c r="AI67" s="32">
        <f t="shared" si="88"/>
        <v>0</v>
      </c>
      <c r="AK67" s="3">
        <v>552316.64</v>
      </c>
      <c r="AM67" s="3"/>
      <c r="AN67" s="222"/>
      <c r="AO67" s="3"/>
      <c r="AP67" s="32">
        <f t="shared" si="68"/>
        <v>0</v>
      </c>
      <c r="AR67" s="3">
        <v>49200</v>
      </c>
      <c r="AT67" s="3"/>
      <c r="AU67" s="3"/>
      <c r="AV67" s="3"/>
      <c r="AW67" s="32">
        <f t="shared" si="70"/>
        <v>0</v>
      </c>
      <c r="AY67" s="3">
        <v>17079500</v>
      </c>
      <c r="BA67" s="3"/>
      <c r="BB67" s="222"/>
      <c r="BC67" s="222"/>
      <c r="BD67" s="32">
        <f>IFERROR(BB67/BA67,0)</f>
        <v>0</v>
      </c>
      <c r="BF67" s="3">
        <f>4485000-242500</f>
        <v>4242500</v>
      </c>
      <c r="BH67" s="3"/>
      <c r="BI67" s="226"/>
      <c r="BJ67" s="222"/>
      <c r="BK67" s="32"/>
      <c r="BM67" s="3">
        <f>14999847.08-1711900.01</f>
        <v>13287947.07</v>
      </c>
      <c r="BO67" s="3"/>
      <c r="BP67" s="3"/>
      <c r="BQ67" s="3"/>
      <c r="BR67" s="32"/>
      <c r="BT67" s="3">
        <f>13521220.6-658566.67</f>
        <v>12862653.93</v>
      </c>
      <c r="BV67" s="3">
        <v>0</v>
      </c>
      <c r="BW67" s="3"/>
      <c r="BX67" s="3">
        <v>0</v>
      </c>
      <c r="BY67" s="32">
        <f>IFERROR(BW67/BV67,0)</f>
        <v>0</v>
      </c>
      <c r="CA67" s="3">
        <f>13196906.22-1332041.73</f>
        <v>11864864.49</v>
      </c>
      <c r="CC67" s="7"/>
      <c r="CD67" s="7"/>
      <c r="CE67" s="7"/>
      <c r="CF67" s="32"/>
      <c r="CH67" s="3">
        <f>9544919.48-116666.66</f>
        <v>9428252.8200000003</v>
      </c>
      <c r="CJ67" s="277"/>
      <c r="CK67" s="4"/>
      <c r="CL67" s="4"/>
      <c r="CM67" s="32"/>
      <c r="CO67" s="3">
        <f t="shared" si="26"/>
        <v>83956830.049999982</v>
      </c>
      <c r="CQ67" s="4"/>
      <c r="CR67" s="4"/>
      <c r="CS67" s="4"/>
      <c r="CT67" s="32">
        <f t="shared" si="89"/>
        <v>0</v>
      </c>
      <c r="CV67" s="3">
        <f>+I67+P67+W67+AD67+AK67+AR67+AY67+BF67+BM67+BT67+CA67+CH67</f>
        <v>108684348.47</v>
      </c>
      <c r="CX67" s="52">
        <f t="shared" si="31"/>
        <v>0</v>
      </c>
      <c r="CY67" s="3">
        <f t="shared" si="32"/>
        <v>0</v>
      </c>
      <c r="CZ67" s="3">
        <v>30000000</v>
      </c>
      <c r="DA67" s="3">
        <f t="shared" si="34"/>
        <v>30000000</v>
      </c>
    </row>
    <row r="68" spans="1:105" s="26" customFormat="1" ht="16.5" customHeight="1" x14ac:dyDescent="0.3">
      <c r="A68" s="35"/>
      <c r="B68" s="30" t="s">
        <v>100</v>
      </c>
      <c r="D68" s="3">
        <v>0</v>
      </c>
      <c r="E68" s="3">
        <v>1529277.63</v>
      </c>
      <c r="F68" s="3">
        <f>E68-D68</f>
        <v>1529277.63</v>
      </c>
      <c r="G68" s="32">
        <f t="shared" ref="G68:G75" si="90">IFERROR(E68/D68,0)</f>
        <v>0</v>
      </c>
      <c r="I68" s="4"/>
      <c r="J68" s="218"/>
      <c r="K68" s="33">
        <v>0</v>
      </c>
      <c r="L68" s="251">
        <v>35934.44</v>
      </c>
      <c r="M68" s="3">
        <f>L68-K68</f>
        <v>35934.44</v>
      </c>
      <c r="N68" s="32">
        <f>IFERROR(L68/K68,0)</f>
        <v>0</v>
      </c>
      <c r="P68" s="3">
        <v>0</v>
      </c>
      <c r="R68" s="3">
        <v>0</v>
      </c>
      <c r="S68" s="223">
        <f>9663676.02-1172.29</f>
        <v>9662503.7300000004</v>
      </c>
      <c r="T68" s="3">
        <f>S68-R68</f>
        <v>9662503.7300000004</v>
      </c>
      <c r="U68" s="32">
        <f t="shared" si="62"/>
        <v>0</v>
      </c>
      <c r="W68" s="3">
        <v>0</v>
      </c>
      <c r="Y68" s="3"/>
      <c r="Z68" s="223">
        <v>19599802.190000001</v>
      </c>
      <c r="AA68" s="3">
        <f>Z68-Y68</f>
        <v>19599802.190000001</v>
      </c>
      <c r="AB68" s="32"/>
      <c r="AD68" s="3">
        <v>0</v>
      </c>
      <c r="AF68" s="3">
        <v>0</v>
      </c>
      <c r="AG68" s="3">
        <v>734727.44</v>
      </c>
      <c r="AH68" s="3">
        <f>AG68-AF68</f>
        <v>734727.44</v>
      </c>
      <c r="AI68" s="32">
        <f t="shared" si="88"/>
        <v>0</v>
      </c>
      <c r="AK68" s="3">
        <v>0</v>
      </c>
      <c r="AM68" s="3">
        <v>0</v>
      </c>
      <c r="AN68" s="222">
        <v>18886343.25</v>
      </c>
      <c r="AO68" s="3">
        <f>AN68-AM68</f>
        <v>18886343.25</v>
      </c>
      <c r="AP68" s="32">
        <f t="shared" si="68"/>
        <v>0</v>
      </c>
      <c r="AR68" s="3"/>
      <c r="AT68" s="3">
        <v>0</v>
      </c>
      <c r="AU68" s="3">
        <v>14417372.57</v>
      </c>
      <c r="AV68" s="3">
        <f>AU68-AT68</f>
        <v>14417372.57</v>
      </c>
      <c r="AW68" s="32">
        <f t="shared" si="70"/>
        <v>0</v>
      </c>
      <c r="AY68" s="3">
        <v>0</v>
      </c>
      <c r="BA68" s="3">
        <v>0</v>
      </c>
      <c r="BB68" s="222">
        <v>10610999.279999999</v>
      </c>
      <c r="BC68" s="222">
        <f>+BB68-BA68</f>
        <v>10610999.279999999</v>
      </c>
      <c r="BD68" s="32"/>
      <c r="BF68" s="3"/>
      <c r="BH68" s="3">
        <v>0</v>
      </c>
      <c r="BI68" s="222">
        <v>14399588.210000001</v>
      </c>
      <c r="BJ68" s="222">
        <f>+BI68-BH68</f>
        <v>14399588.210000001</v>
      </c>
      <c r="BK68" s="32"/>
      <c r="BM68" s="3">
        <v>0</v>
      </c>
      <c r="BO68" s="3">
        <v>0</v>
      </c>
      <c r="BP68" s="3">
        <v>14078832.98</v>
      </c>
      <c r="BQ68" s="3">
        <v>0</v>
      </c>
      <c r="BR68" s="32"/>
      <c r="BT68" s="3">
        <v>0</v>
      </c>
      <c r="BV68" s="3">
        <v>0</v>
      </c>
      <c r="BW68" s="3">
        <v>14371450.560000001</v>
      </c>
      <c r="BX68" s="3">
        <v>0</v>
      </c>
      <c r="BY68" s="32"/>
      <c r="CA68" s="3">
        <v>0</v>
      </c>
      <c r="CC68" s="7">
        <v>0</v>
      </c>
      <c r="CD68" s="7">
        <v>18225011.23</v>
      </c>
      <c r="CE68" s="7">
        <v>0</v>
      </c>
      <c r="CF68" s="32"/>
      <c r="CH68" s="3">
        <v>0</v>
      </c>
      <c r="CJ68" s="225">
        <f>+D68+K68+R68+Y68+AF68+AM68+AT68+BA68+BH68+BO68+BV68</f>
        <v>0</v>
      </c>
      <c r="CK68" s="3">
        <f>+E68+L68+S68+Z68+AG68+AN68+AU68+BB68+BI68+BP68+BW68+CD68</f>
        <v>136551843.51000002</v>
      </c>
      <c r="CL68" s="3">
        <f>+CK68-CJ68</f>
        <v>136551843.51000002</v>
      </c>
      <c r="CM68" s="32">
        <f>IFERROR(CK68/CJ68,0)</f>
        <v>0</v>
      </c>
      <c r="CO68" s="3">
        <f>I68+P68+W68+AD68+AK68+AR68+AY68+BF68+BM68+CH68</f>
        <v>0</v>
      </c>
      <c r="CQ68" s="3">
        <v>0</v>
      </c>
      <c r="CR68" s="3">
        <f>+E68+L68+S68+Z68+AG68+AN68+AU68+BB68+BI68+BP68+BW68+CD68</f>
        <v>136551843.51000002</v>
      </c>
      <c r="CS68" s="3">
        <f>+CR68-CQ68</f>
        <v>136551843.51000002</v>
      </c>
      <c r="CT68" s="32">
        <f t="shared" si="89"/>
        <v>0</v>
      </c>
      <c r="CV68" s="3"/>
      <c r="CX68" s="52"/>
      <c r="CY68" s="3"/>
      <c r="CZ68" s="3"/>
      <c r="DA68" s="3"/>
    </row>
    <row r="69" spans="1:105" s="26" customFormat="1" ht="16.5" customHeight="1" x14ac:dyDescent="0.3">
      <c r="A69" s="35"/>
      <c r="B69" s="30" t="s">
        <v>101</v>
      </c>
      <c r="D69" s="3">
        <v>0</v>
      </c>
      <c r="E69" s="3">
        <v>374642.64</v>
      </c>
      <c r="F69" s="3">
        <f>E69-D69</f>
        <v>374642.64</v>
      </c>
      <c r="G69" s="32">
        <f t="shared" si="90"/>
        <v>0</v>
      </c>
      <c r="I69" s="224">
        <v>0</v>
      </c>
      <c r="J69" s="218"/>
      <c r="K69" s="33">
        <v>0</v>
      </c>
      <c r="L69" s="251">
        <v>25510224.350000001</v>
      </c>
      <c r="M69" s="3">
        <f>L69-K69</f>
        <v>25510224.350000001</v>
      </c>
      <c r="N69" s="32">
        <f>IFERROR(L69/K69,0)</f>
        <v>0</v>
      </c>
      <c r="P69" s="3">
        <v>0</v>
      </c>
      <c r="R69" s="3">
        <v>0</v>
      </c>
      <c r="S69" s="223">
        <v>1416235.15</v>
      </c>
      <c r="T69" s="3">
        <f>S69-R69</f>
        <v>1416235.15</v>
      </c>
      <c r="U69" s="32">
        <f t="shared" si="62"/>
        <v>0</v>
      </c>
      <c r="W69" s="3">
        <v>0</v>
      </c>
      <c r="Y69" s="3"/>
      <c r="Z69" s="223">
        <v>1118795.8400000001</v>
      </c>
      <c r="AA69" s="3">
        <f>Z69-Y69</f>
        <v>1118795.8400000001</v>
      </c>
      <c r="AB69" s="32"/>
      <c r="AD69" s="3">
        <v>0</v>
      </c>
      <c r="AF69" s="3">
        <v>0</v>
      </c>
      <c r="AG69" s="3">
        <v>13750208.67</v>
      </c>
      <c r="AH69" s="3">
        <f>AG69-AF69</f>
        <v>13750208.67</v>
      </c>
      <c r="AI69" s="32">
        <f t="shared" si="88"/>
        <v>0</v>
      </c>
      <c r="AK69" s="3">
        <v>0</v>
      </c>
      <c r="AM69" s="3">
        <v>0</v>
      </c>
      <c r="AN69" s="222">
        <v>1546574.05</v>
      </c>
      <c r="AO69" s="3">
        <f>AN69-AM69</f>
        <v>1546574.05</v>
      </c>
      <c r="AP69" s="32">
        <f t="shared" si="68"/>
        <v>0</v>
      </c>
      <c r="AR69" s="3"/>
      <c r="AT69" s="3">
        <v>0</v>
      </c>
      <c r="AU69" s="3">
        <v>28998171.899999999</v>
      </c>
      <c r="AV69" s="3">
        <f>AU69-AT69</f>
        <v>28998171.899999999</v>
      </c>
      <c r="AW69" s="32">
        <f t="shared" si="70"/>
        <v>0</v>
      </c>
      <c r="AY69" s="3">
        <v>0</v>
      </c>
      <c r="BA69" s="3">
        <v>0</v>
      </c>
      <c r="BB69" s="222">
        <v>15102008.01</v>
      </c>
      <c r="BC69" s="222">
        <f>+BB69-BA69</f>
        <v>15102008.01</v>
      </c>
      <c r="BD69" s="32"/>
      <c r="BF69" s="3"/>
      <c r="BH69" s="3">
        <v>0</v>
      </c>
      <c r="BI69" s="222">
        <v>45957482.579999998</v>
      </c>
      <c r="BJ69" s="222">
        <f>+BI69-BH69</f>
        <v>45957482.579999998</v>
      </c>
      <c r="BK69" s="32"/>
      <c r="BM69" s="3">
        <v>0</v>
      </c>
      <c r="BO69" s="3">
        <v>0</v>
      </c>
      <c r="BP69" s="3">
        <v>12425232.52</v>
      </c>
      <c r="BQ69" s="3">
        <v>0</v>
      </c>
      <c r="BR69" s="32"/>
      <c r="BT69" s="3">
        <v>0</v>
      </c>
      <c r="BV69" s="3">
        <v>0</v>
      </c>
      <c r="BW69" s="3">
        <v>20838275.539999999</v>
      </c>
      <c r="BX69" s="3">
        <v>0</v>
      </c>
      <c r="BY69" s="32"/>
      <c r="CA69" s="3">
        <v>0</v>
      </c>
      <c r="CC69" s="7">
        <v>0</v>
      </c>
      <c r="CD69" s="7">
        <v>46613303.039999999</v>
      </c>
      <c r="CE69" s="7">
        <v>0</v>
      </c>
      <c r="CF69" s="32"/>
      <c r="CH69" s="3">
        <v>0</v>
      </c>
      <c r="CJ69" s="225">
        <f>+D69+K69+R69+Y69+AF69+AM69+AT69+BA69+BH69+BO69+BV69</f>
        <v>0</v>
      </c>
      <c r="CK69" s="3">
        <f>+E69+L69+S69+Z69+AG69+AN69+AU69+BB69+BI69+BP69+BW69+CD69</f>
        <v>213651154.28999999</v>
      </c>
      <c r="CL69" s="3">
        <f>+CK69-CJ69</f>
        <v>213651154.28999999</v>
      </c>
      <c r="CM69" s="32">
        <f>IFERROR(CK69/CJ69,0)</f>
        <v>0</v>
      </c>
      <c r="CO69" s="3">
        <f>I69+P69+W69+AD69+AK69+AR69+AY69+BF69+BM69+CH69</f>
        <v>0</v>
      </c>
      <c r="CQ69" s="3">
        <v>0</v>
      </c>
      <c r="CR69" s="3">
        <f>+E69+L69+S69+Z69+AG69+AN69+AU69+BB69+BI69+BP69+BW69+CD69</f>
        <v>213651154.28999999</v>
      </c>
      <c r="CS69" s="3">
        <f>+CR69-CQ69</f>
        <v>213651154.28999999</v>
      </c>
      <c r="CT69" s="32">
        <f t="shared" si="89"/>
        <v>0</v>
      </c>
      <c r="CV69" s="3"/>
      <c r="CX69" s="52"/>
      <c r="CY69" s="3"/>
      <c r="CZ69" s="3"/>
      <c r="DA69" s="3"/>
    </row>
    <row r="70" spans="1:105" s="26" customFormat="1" ht="16.5" customHeight="1" x14ac:dyDescent="0.3">
      <c r="A70" s="35"/>
      <c r="B70" s="30" t="s">
        <v>102</v>
      </c>
      <c r="D70" s="3">
        <v>0</v>
      </c>
      <c r="E70" s="3">
        <v>0</v>
      </c>
      <c r="F70" s="3">
        <v>0</v>
      </c>
      <c r="G70" s="32">
        <f t="shared" si="90"/>
        <v>0</v>
      </c>
      <c r="I70" s="3">
        <v>0</v>
      </c>
      <c r="J70" s="218"/>
      <c r="K70" s="33"/>
      <c r="L70" s="251"/>
      <c r="M70" s="3"/>
      <c r="N70" s="32"/>
      <c r="P70" s="3"/>
      <c r="R70" s="3"/>
      <c r="S70" s="223"/>
      <c r="T70" s="3"/>
      <c r="U70" s="32"/>
      <c r="W70" s="3"/>
      <c r="Y70" s="3"/>
      <c r="Z70" s="223">
        <v>0</v>
      </c>
      <c r="AA70" s="3">
        <v>0</v>
      </c>
      <c r="AB70" s="32"/>
      <c r="AD70" s="3"/>
      <c r="AF70" s="3">
        <v>0</v>
      </c>
      <c r="AG70" s="3">
        <v>1699013.91</v>
      </c>
      <c r="AH70" s="3">
        <f>AG70-AF70</f>
        <v>1699013.91</v>
      </c>
      <c r="AI70" s="32">
        <f t="shared" si="88"/>
        <v>0</v>
      </c>
      <c r="AK70" s="3"/>
      <c r="AM70" s="3"/>
      <c r="AN70" s="222"/>
      <c r="AO70" s="3">
        <v>0</v>
      </c>
      <c r="AP70" s="32">
        <v>0</v>
      </c>
      <c r="AR70" s="3"/>
      <c r="AT70" s="3">
        <v>0</v>
      </c>
      <c r="AU70" s="3">
        <v>-1699013.91</v>
      </c>
      <c r="AV70" s="3">
        <f>AU70-AT70</f>
        <v>-1699013.91</v>
      </c>
      <c r="AW70" s="32">
        <f t="shared" si="70"/>
        <v>0</v>
      </c>
      <c r="AY70" s="3"/>
      <c r="BA70" s="3"/>
      <c r="BB70" s="222">
        <v>144709.01</v>
      </c>
      <c r="BC70" s="222">
        <f>+BB70-BA70</f>
        <v>144709.01</v>
      </c>
      <c r="BD70" s="32"/>
      <c r="BF70" s="3"/>
      <c r="BH70" s="3">
        <v>0</v>
      </c>
      <c r="BI70" s="222">
        <v>116655.98</v>
      </c>
      <c r="BJ70" s="222">
        <f>+BI70-BH70</f>
        <v>116655.98</v>
      </c>
      <c r="BK70" s="32"/>
      <c r="BM70" s="3"/>
      <c r="BO70" s="3">
        <v>0</v>
      </c>
      <c r="BP70" s="3">
        <v>334704.96000000002</v>
      </c>
      <c r="BQ70" s="3"/>
      <c r="BR70" s="32"/>
      <c r="BT70" s="3"/>
      <c r="BV70" s="3"/>
      <c r="BW70" s="34">
        <v>714508.78</v>
      </c>
      <c r="BX70" s="3"/>
      <c r="BY70" s="32"/>
      <c r="CA70" s="3"/>
      <c r="CC70" s="7"/>
      <c r="CD70" s="7">
        <v>-1310578.7</v>
      </c>
      <c r="CE70" s="7"/>
      <c r="CF70" s="32"/>
      <c r="CH70" s="3"/>
      <c r="CJ70" s="225">
        <f>+D70+K70+R70+Y70+AF70+AM70+AT70+BA70+BH70+BO70+BV70</f>
        <v>0</v>
      </c>
      <c r="CK70" s="3">
        <f>+E70+L70+S70+Z70+AG70+AN70+AU70+BB70+BI70+BP70+BW70+CD70</f>
        <v>3.0000000027939677E-2</v>
      </c>
      <c r="CL70" s="3">
        <f>+CK70-CJ70</f>
        <v>3.0000000027939677E-2</v>
      </c>
      <c r="CM70" s="32">
        <f>IFERROR(CK70/CJ70,0)</f>
        <v>0</v>
      </c>
      <c r="CO70" s="3">
        <f>I70+P70+W70+AD70+AK70+AR70+AY70+BF70+BM70+CH70</f>
        <v>0</v>
      </c>
      <c r="CQ70" s="3"/>
      <c r="CR70" s="3">
        <f>+E70+L70+S70+Z70+AG70+AN70+AU70+BB70+BI70+BP70+BW70+CD70</f>
        <v>3.0000000027939677E-2</v>
      </c>
      <c r="CS70" s="3">
        <f>+CR70-CQ70</f>
        <v>3.0000000027939677E-2</v>
      </c>
      <c r="CT70" s="32"/>
      <c r="CV70" s="3"/>
      <c r="CX70" s="52"/>
      <c r="CY70" s="3"/>
      <c r="CZ70" s="3"/>
      <c r="DA70" s="3"/>
    </row>
    <row r="71" spans="1:105" s="31" customFormat="1" x14ac:dyDescent="0.3">
      <c r="A71" s="265"/>
      <c r="B71" s="266" t="s">
        <v>103</v>
      </c>
      <c r="C71" s="267"/>
      <c r="D71" s="268">
        <f>+D68+D69+D70</f>
        <v>0</v>
      </c>
      <c r="E71" s="268">
        <f>+E68+E69+E70</f>
        <v>1903920.27</v>
      </c>
      <c r="F71" s="268">
        <f>+F68+F69+F70</f>
        <v>1903920.27</v>
      </c>
      <c r="G71" s="269">
        <f t="shared" si="90"/>
        <v>0</v>
      </c>
      <c r="H71" s="267"/>
      <c r="I71" s="270">
        <f>I67</f>
        <v>9063499.6999999993</v>
      </c>
      <c r="J71" s="267"/>
      <c r="K71" s="268">
        <f>+K68+K69+K70</f>
        <v>0</v>
      </c>
      <c r="L71" s="268">
        <f>+L68+L69+L70</f>
        <v>25546158.790000003</v>
      </c>
      <c r="M71" s="268">
        <f>+M68+M69+M70</f>
        <v>25546158.790000003</v>
      </c>
      <c r="N71" s="269">
        <v>0</v>
      </c>
      <c r="O71" s="267"/>
      <c r="P71" s="270">
        <f>P67</f>
        <v>616225.89</v>
      </c>
      <c r="Q71" s="267"/>
      <c r="R71" s="268">
        <f>+R68+R69+R70</f>
        <v>0</v>
      </c>
      <c r="S71" s="268">
        <f>+S68+S69+S70</f>
        <v>11078738.880000001</v>
      </c>
      <c r="T71" s="268">
        <f>+T68+T69+T70</f>
        <v>11078738.880000001</v>
      </c>
      <c r="U71" s="269"/>
      <c r="V71" s="267"/>
      <c r="W71" s="270">
        <f>W67</f>
        <v>14306586.109999999</v>
      </c>
      <c r="X71" s="267"/>
      <c r="Y71" s="268">
        <f>+Y68+Y69+Y70</f>
        <v>0</v>
      </c>
      <c r="Z71" s="268">
        <f>+Z68+Z69+Z70</f>
        <v>20718598.030000001</v>
      </c>
      <c r="AA71" s="268">
        <f>+AA68+AA69+AA70</f>
        <v>20718598.030000001</v>
      </c>
      <c r="AB71" s="269"/>
      <c r="AC71" s="267"/>
      <c r="AD71" s="270">
        <f>AD67</f>
        <v>15330801.82</v>
      </c>
      <c r="AE71" s="271"/>
      <c r="AF71" s="268">
        <f>+AF68+AF69+AF70</f>
        <v>0</v>
      </c>
      <c r="AG71" s="268">
        <f>+AG68+AG69+AG70</f>
        <v>16183950.02</v>
      </c>
      <c r="AH71" s="268">
        <f>+AH68+AH69+AH70</f>
        <v>16183950.02</v>
      </c>
      <c r="AI71" s="269"/>
      <c r="AJ71" s="267"/>
      <c r="AK71" s="268">
        <f>AK67</f>
        <v>552316.64</v>
      </c>
      <c r="AL71" s="267"/>
      <c r="AM71" s="268">
        <f>+AM68+AM69+AM70</f>
        <v>0</v>
      </c>
      <c r="AN71" s="268">
        <f>+AN68+AN69+AN70</f>
        <v>20432917.300000001</v>
      </c>
      <c r="AO71" s="268">
        <f>+AO68+AO69+AO70</f>
        <v>20432917.300000001</v>
      </c>
      <c r="AP71" s="269"/>
      <c r="AQ71" s="267"/>
      <c r="AR71" s="268">
        <f>AR67</f>
        <v>49200</v>
      </c>
      <c r="AS71" s="267"/>
      <c r="AT71" s="268">
        <f>+AT68+AT69+AT70</f>
        <v>0</v>
      </c>
      <c r="AU71" s="268">
        <f>+AU68+AU69+AU70</f>
        <v>41716530.560000002</v>
      </c>
      <c r="AV71" s="268">
        <f>+AV68+AV69+AV70</f>
        <v>41716530.560000002</v>
      </c>
      <c r="AW71" s="269"/>
      <c r="AX71" s="267"/>
      <c r="AY71" s="268">
        <f>AY67</f>
        <v>17079500</v>
      </c>
      <c r="AZ71" s="267"/>
      <c r="BA71" s="268">
        <f>+BA68+BA69+BA70</f>
        <v>0</v>
      </c>
      <c r="BB71" s="268">
        <f>+BB68+BB69+BB70</f>
        <v>25857716.300000001</v>
      </c>
      <c r="BC71" s="268">
        <f>+BC68+BC69+BC70</f>
        <v>25857716.300000001</v>
      </c>
      <c r="BD71" s="269"/>
      <c r="BE71" s="267"/>
      <c r="BF71" s="268">
        <f>BF67</f>
        <v>4242500</v>
      </c>
      <c r="BG71" s="267"/>
      <c r="BH71" s="268">
        <f>+BH68+BH69+BH70</f>
        <v>0</v>
      </c>
      <c r="BI71" s="268">
        <f>+BI68+BI69+BI70</f>
        <v>60473726.769999996</v>
      </c>
      <c r="BJ71" s="268">
        <f>+BJ68+BJ69+BJ70</f>
        <v>60473726.769999996</v>
      </c>
      <c r="BK71" s="269"/>
      <c r="BL71" s="267"/>
      <c r="BM71" s="268">
        <f>BM67</f>
        <v>13287947.07</v>
      </c>
      <c r="BN71" s="267"/>
      <c r="BO71" s="268">
        <f>+BO68+BO69+BO70</f>
        <v>0</v>
      </c>
      <c r="BP71" s="268">
        <f>+BP68+BP69+BP70</f>
        <v>26838770.460000001</v>
      </c>
      <c r="BQ71" s="268">
        <f>+BQ68+BQ69+BQ70</f>
        <v>0</v>
      </c>
      <c r="BR71" s="269"/>
      <c r="BS71" s="267"/>
      <c r="BT71" s="268">
        <f>BT67</f>
        <v>12862653.93</v>
      </c>
      <c r="BU71" s="267"/>
      <c r="BV71" s="268">
        <f>+BV68+BV69+BV70</f>
        <v>0</v>
      </c>
      <c r="BW71" s="268">
        <f>+BW68+BW69+BW70</f>
        <v>35924234.880000003</v>
      </c>
      <c r="BX71" s="268">
        <f>+BX68+BX69+BX70</f>
        <v>0</v>
      </c>
      <c r="BY71" s="269"/>
      <c r="BZ71" s="267"/>
      <c r="CA71" s="268">
        <f>CA67</f>
        <v>11864864.49</v>
      </c>
      <c r="CB71" s="267"/>
      <c r="CC71" s="268">
        <f>+CC68+CC69+CC70</f>
        <v>0</v>
      </c>
      <c r="CD71" s="268">
        <f>+CD68+CD69+CD70</f>
        <v>63527735.569999993</v>
      </c>
      <c r="CE71" s="268">
        <f>+CE68+CE69+CE70</f>
        <v>0</v>
      </c>
      <c r="CF71" s="269"/>
      <c r="CG71" s="267"/>
      <c r="CH71" s="268">
        <f>CH67</f>
        <v>9428252.8200000003</v>
      </c>
      <c r="CI71" s="267"/>
      <c r="CJ71" s="268">
        <f>+CJ68+CJ69+CJ70</f>
        <v>0</v>
      </c>
      <c r="CK71" s="268">
        <f>+CK68+CK69+CK70</f>
        <v>350202997.82999998</v>
      </c>
      <c r="CL71" s="268">
        <f>+CL68+CL69+CL70</f>
        <v>350202997.82999998</v>
      </c>
      <c r="CM71" s="269"/>
      <c r="CN71" s="267"/>
      <c r="CO71" s="268">
        <f>I71+P71+W71+AD71+AK71+AR71+AY71+BF71+BM71+CH71</f>
        <v>83956830.049999982</v>
      </c>
      <c r="CP71" s="267"/>
      <c r="CQ71" s="268">
        <f>+CQ68+CQ69+CQ70</f>
        <v>0</v>
      </c>
      <c r="CR71" s="268">
        <f>+CR68+CR69+CR70</f>
        <v>350202997.82999998</v>
      </c>
      <c r="CS71" s="268">
        <f>+CS68+CS69+CS70</f>
        <v>350202997.82999998</v>
      </c>
      <c r="CT71" s="272">
        <f>IFERROR(CR71/CQ71,0)</f>
        <v>0</v>
      </c>
      <c r="CU71" s="4"/>
      <c r="CV71" s="268">
        <f>CO71+CH71+CA71+BT71+BM71+BF71+AY71+AR71+AK71+AD71+W71+P71+I71</f>
        <v>192641178.51999992</v>
      </c>
      <c r="CW71" s="267"/>
      <c r="CX71" s="268"/>
      <c r="CY71" s="10"/>
      <c r="CZ71" s="10"/>
      <c r="DA71" s="10"/>
    </row>
    <row r="72" spans="1:105" s="31" customFormat="1" ht="16.5" customHeight="1" x14ac:dyDescent="0.3">
      <c r="A72" s="47"/>
      <c r="B72" s="48" t="s">
        <v>64</v>
      </c>
      <c r="D72" s="11">
        <f>+D71+D66+D62</f>
        <v>26658122</v>
      </c>
      <c r="E72" s="11">
        <f>+E71+E66+E62</f>
        <v>35366470.269999996</v>
      </c>
      <c r="F72" s="11">
        <f>+F71+F66+F62</f>
        <v>8708348.2699999996</v>
      </c>
      <c r="G72" s="49">
        <f t="shared" si="90"/>
        <v>1.3266677326332288</v>
      </c>
      <c r="I72" s="11">
        <f>I66+I62+I67</f>
        <v>32270250.699999999</v>
      </c>
      <c r="J72" s="221"/>
      <c r="K72" s="11">
        <f>+K71+K66+K62</f>
        <v>31785634</v>
      </c>
      <c r="L72" s="260">
        <f>+L71+L66+L62</f>
        <v>62111090.790000007</v>
      </c>
      <c r="M72" s="11">
        <f>+M71+M66+M62</f>
        <v>30325456.790000003</v>
      </c>
      <c r="N72" s="49">
        <f>IFERROR(L72/K72,0)</f>
        <v>1.9540617245514122</v>
      </c>
      <c r="P72" s="11">
        <f>P66+P62+P67</f>
        <v>36705290.890000001</v>
      </c>
      <c r="R72" s="11">
        <f>+R71+R66+R62</f>
        <v>26435347</v>
      </c>
      <c r="S72" s="260">
        <f>+S71+S66+S62</f>
        <v>41580764.880000003</v>
      </c>
      <c r="T72" s="11">
        <f>+T71+T66+T62</f>
        <v>15145417.880000001</v>
      </c>
      <c r="U72" s="49">
        <f>IFERROR(S72/R72,0)</f>
        <v>1.5729229837610985</v>
      </c>
      <c r="W72" s="11">
        <f>W66+W62+W67</f>
        <v>40182443.109999999</v>
      </c>
      <c r="Y72" s="11">
        <f>+Y71+Y66+Y62</f>
        <v>36158478</v>
      </c>
      <c r="Z72" s="260">
        <f>+Z71+Z66+Z62</f>
        <v>50510761.030000001</v>
      </c>
      <c r="AA72" s="11">
        <f>+AA71+AA66+AA62</f>
        <v>14352283.030000001</v>
      </c>
      <c r="AB72" s="49">
        <f>IFERROR(Z72/Y72,0)</f>
        <v>1.3969271889707304</v>
      </c>
      <c r="AD72" s="11">
        <f>AD66+AD62+AD67</f>
        <v>48310587.82</v>
      </c>
      <c r="AF72" s="11">
        <f>+AF71+AF66+AF62</f>
        <v>30077044</v>
      </c>
      <c r="AG72" s="11">
        <f>+AG71+AG66+AG62</f>
        <v>55837937.019999996</v>
      </c>
      <c r="AH72" s="11">
        <f>+AH71+AH66+AH62</f>
        <v>25760893.02</v>
      </c>
      <c r="AI72" s="49">
        <f>IFERROR(AG72/AF72,0)</f>
        <v>1.8564968359257643</v>
      </c>
      <c r="AK72" s="11">
        <f>AK66+AK62+AK67</f>
        <v>31448820.640000001</v>
      </c>
      <c r="AM72" s="260">
        <f>AM66+AM62+AM67</f>
        <v>31377312</v>
      </c>
      <c r="AN72" s="260">
        <f>AN66+AN62+AN71</f>
        <v>53920564.299999997</v>
      </c>
      <c r="AO72" s="260">
        <f>AO66+AO62+AO67</f>
        <v>2110335</v>
      </c>
      <c r="AP72" s="49">
        <f>IFERROR(AN72/AM72,0)</f>
        <v>1.7184570909069583</v>
      </c>
      <c r="AR72" s="260">
        <f>AR66+AR62+AR67</f>
        <v>30440179</v>
      </c>
      <c r="AT72" s="260">
        <f>AT66+AT62+AT67</f>
        <v>29994058</v>
      </c>
      <c r="AU72" s="260">
        <f>AU66+AU62+AU71</f>
        <v>70917631.560000002</v>
      </c>
      <c r="AV72" s="260">
        <f>AV66+AV62+AV67</f>
        <v>-792957</v>
      </c>
      <c r="AW72" s="49">
        <f>IFERROR(AU72/AT72,0)</f>
        <v>2.3643893587189835</v>
      </c>
      <c r="AY72" s="260">
        <f>AY66+AY62+AY67</f>
        <v>46572632</v>
      </c>
      <c r="BA72" s="260">
        <f>BA66+BA62+BA67</f>
        <v>30926525</v>
      </c>
      <c r="BB72" s="260">
        <f>BB66+BB62+BB71</f>
        <v>62099068.299999997</v>
      </c>
      <c r="BC72" s="260">
        <f>BC66+BC62+BC67</f>
        <v>5314827</v>
      </c>
      <c r="BD72" s="49">
        <f>IFERROR(BB72/BA72,0)</f>
        <v>2.0079549286575196</v>
      </c>
      <c r="BF72" s="260">
        <f>BF66+BF62+BF67</f>
        <v>35195920</v>
      </c>
      <c r="BH72" s="260">
        <f>BH66+BH62+BH67</f>
        <v>27957662</v>
      </c>
      <c r="BI72" s="260">
        <f>BI66+BI62+BI71</f>
        <v>88943275.769999996</v>
      </c>
      <c r="BJ72" s="260">
        <f>BJ66+BJ62+BJ67</f>
        <v>511887</v>
      </c>
      <c r="BK72" s="49">
        <f>IFERROR(BI72/BH72,0)</f>
        <v>3.1813560007270993</v>
      </c>
      <c r="BM72" s="260">
        <f>BM66+BM62+BM67</f>
        <v>39228966.07</v>
      </c>
      <c r="BO72" s="260">
        <f>BO66+BO62+BO67</f>
        <v>27651267</v>
      </c>
      <c r="BP72" s="260">
        <f>BP66+BP62+BP71</f>
        <v>55197994.460000001</v>
      </c>
      <c r="BQ72" s="260">
        <f>BQ66+BQ62+BQ67</f>
        <v>707957</v>
      </c>
      <c r="BR72" s="49">
        <f>IFERROR(BP72/BO72,0)</f>
        <v>1.9962193580496692</v>
      </c>
      <c r="BT72" s="260">
        <f>BT66+BT62+BT67</f>
        <v>38578986.93</v>
      </c>
      <c r="BV72" s="260">
        <f>BV66+BV62+BV67</f>
        <v>27387385</v>
      </c>
      <c r="BW72" s="260">
        <f>BW66+BW62+BW71</f>
        <v>68283858.879999995</v>
      </c>
      <c r="BX72" s="260">
        <f>BX66+BX62+BX67</f>
        <v>4972239</v>
      </c>
      <c r="BY72" s="49">
        <f>IFERROR(BW72/BV72,0)</f>
        <v>2.4932595382874267</v>
      </c>
      <c r="CA72" s="260">
        <f>CA66+CA62+CA67</f>
        <v>39310010.490000002</v>
      </c>
      <c r="CC72" s="260">
        <f>CC66+CC62+CC67</f>
        <v>27343406</v>
      </c>
      <c r="CD72" s="11">
        <f>CD66+CD62+CD71</f>
        <v>95899238.569999993</v>
      </c>
      <c r="CE72" s="260">
        <f>CE66+CE62+CE67</f>
        <v>5028097</v>
      </c>
      <c r="CF72" s="49">
        <f>IFERROR(CD72/CC72,0)</f>
        <v>3.5072162762020209</v>
      </c>
      <c r="CH72" s="260">
        <f>CH66+CH62+CH67</f>
        <v>36680537.82</v>
      </c>
      <c r="CJ72" s="278">
        <f>CJ66+CJ62+CJ71</f>
        <v>353752240</v>
      </c>
      <c r="CK72" s="260">
        <f>CK66+CK62+CK71</f>
        <v>740668655.82999992</v>
      </c>
      <c r="CL72" s="260">
        <f>CL66+CL62+CL67</f>
        <v>31680107</v>
      </c>
      <c r="CM72" s="49">
        <f>IFERROR(CK72/CJ72,0)</f>
        <v>2.0937497267296452</v>
      </c>
      <c r="CO72" s="260">
        <f>I72+P72+W72+AD72+AK72+AR72+AY72+BF72+BM72+CH72</f>
        <v>377035628.05000001</v>
      </c>
      <c r="CQ72" s="11">
        <v>353752240</v>
      </c>
      <c r="CR72" s="11">
        <f>+E72+L72+S72+Z72+AG72+AN72+AU72+BB72+BI72+BP72+BW72+CD72</f>
        <v>740668655.82999992</v>
      </c>
      <c r="CS72" s="11">
        <f>CR72-CQ72</f>
        <v>386916415.82999992</v>
      </c>
      <c r="CT72" s="49">
        <f>IFERROR(CR72/CQ72,0)</f>
        <v>2.0937497267296452</v>
      </c>
      <c r="CV72" s="11">
        <f>+I72+P72+W72+AD72+AK72+AR72+AY72+BF72+BM72+BT72+CA72+CH72</f>
        <v>454924625.47000003</v>
      </c>
      <c r="CX72" s="11">
        <f>BO72+BV72+CC72</f>
        <v>82382058</v>
      </c>
      <c r="CY72" s="11">
        <f>BO72+BV72+CC72</f>
        <v>82382058</v>
      </c>
      <c r="CZ72" s="11">
        <f>+CZ62+CZ66+CZ67</f>
        <v>112382058</v>
      </c>
      <c r="DA72" s="11">
        <f>+CZ72+CR72</f>
        <v>853050713.82999992</v>
      </c>
    </row>
    <row r="73" spans="1:105" s="26" customFormat="1" ht="16.5" customHeight="1" x14ac:dyDescent="0.3">
      <c r="A73" s="35">
        <v>46</v>
      </c>
      <c r="B73" s="36" t="s">
        <v>65</v>
      </c>
      <c r="D73" s="5">
        <v>0</v>
      </c>
      <c r="E73" s="5">
        <v>0</v>
      </c>
      <c r="F73" s="3">
        <f>E73-D73</f>
        <v>0</v>
      </c>
      <c r="G73" s="37">
        <f t="shared" si="90"/>
        <v>0</v>
      </c>
      <c r="I73" s="5">
        <v>0</v>
      </c>
      <c r="J73" s="218"/>
      <c r="K73" s="42">
        <v>0</v>
      </c>
      <c r="L73" s="227">
        <v>0</v>
      </c>
      <c r="M73" s="5">
        <f>L73-K73</f>
        <v>0</v>
      </c>
      <c r="N73" s="37">
        <f>IFERROR(L73/K73,0)</f>
        <v>0</v>
      </c>
      <c r="P73" s="5">
        <v>0</v>
      </c>
      <c r="R73" s="5">
        <v>0</v>
      </c>
      <c r="S73" s="246">
        <v>0</v>
      </c>
      <c r="T73" s="5">
        <f>S73-R73</f>
        <v>0</v>
      </c>
      <c r="U73" s="37">
        <f>IFERROR(S73/R73,0)</f>
        <v>0</v>
      </c>
      <c r="W73" s="5">
        <v>0</v>
      </c>
      <c r="Y73" s="5">
        <v>0</v>
      </c>
      <c r="Z73" s="246">
        <v>0</v>
      </c>
      <c r="AA73" s="5">
        <v>0</v>
      </c>
      <c r="AB73" s="37"/>
      <c r="AD73" s="5">
        <v>0</v>
      </c>
      <c r="AF73" s="5">
        <v>0</v>
      </c>
      <c r="AG73" s="5">
        <v>0</v>
      </c>
      <c r="AH73" s="5">
        <f>AG73-AF73</f>
        <v>0</v>
      </c>
      <c r="AI73" s="37">
        <f>IFERROR(AG73/AF73,0)</f>
        <v>0</v>
      </c>
      <c r="AK73" s="5">
        <v>0</v>
      </c>
      <c r="AM73" s="5">
        <v>0</v>
      </c>
      <c r="AN73" s="227">
        <v>0</v>
      </c>
      <c r="AO73" s="5">
        <f>AN73-AM73</f>
        <v>0</v>
      </c>
      <c r="AP73" s="37">
        <f>IFERROR(AN73/AM73,0)</f>
        <v>0</v>
      </c>
      <c r="AR73" s="5"/>
      <c r="AT73" s="5">
        <v>0</v>
      </c>
      <c r="AU73" s="5">
        <v>0</v>
      </c>
      <c r="AV73" s="5">
        <f>AU73-AT73</f>
        <v>0</v>
      </c>
      <c r="AW73" s="37">
        <f>IFERROR(AU73/AT73,0)</f>
        <v>0</v>
      </c>
      <c r="AY73" s="5">
        <v>0</v>
      </c>
      <c r="BA73" s="3">
        <v>0</v>
      </c>
      <c r="BB73" s="222">
        <v>0</v>
      </c>
      <c r="BC73" s="222">
        <v>0</v>
      </c>
      <c r="BD73" s="37">
        <f>IFERROR(BB73/BA73,0)</f>
        <v>0</v>
      </c>
      <c r="BF73" s="5"/>
      <c r="BH73" s="3">
        <v>0</v>
      </c>
      <c r="BI73" s="222">
        <v>0</v>
      </c>
      <c r="BJ73" s="222">
        <v>0</v>
      </c>
      <c r="BK73" s="37">
        <f>IFERROR(BI73/BH73,0)</f>
        <v>0</v>
      </c>
      <c r="BM73" s="3">
        <v>0</v>
      </c>
      <c r="BO73" s="3">
        <v>0</v>
      </c>
      <c r="BP73" s="3">
        <v>0</v>
      </c>
      <c r="BQ73" s="3">
        <v>0</v>
      </c>
      <c r="BR73" s="37">
        <f>IFERROR(BP73/BO73,0)</f>
        <v>0</v>
      </c>
      <c r="BT73" s="3">
        <v>0</v>
      </c>
      <c r="BV73" s="3">
        <v>0</v>
      </c>
      <c r="BW73" s="3">
        <v>0</v>
      </c>
      <c r="BX73" s="3">
        <v>0</v>
      </c>
      <c r="BY73" s="37">
        <f>IFERROR(BW73/BV73,0)</f>
        <v>0</v>
      </c>
      <c r="CA73" s="5">
        <v>0</v>
      </c>
      <c r="CC73" s="7">
        <v>0</v>
      </c>
      <c r="CD73" s="7">
        <v>0</v>
      </c>
      <c r="CE73" s="5">
        <f>CD73-CC73</f>
        <v>0</v>
      </c>
      <c r="CF73" s="37">
        <f>IFERROR(CD73/CC73,0)</f>
        <v>0</v>
      </c>
      <c r="CH73" s="5">
        <v>0</v>
      </c>
      <c r="CJ73" s="225">
        <f>+D73+K73+R73+Y73+AF73+AM73+AT73+BA73+BH73+BO73+BV73</f>
        <v>0</v>
      </c>
      <c r="CK73" s="3">
        <f>E73+L73+S73+Z73+AG73+AN73+AU73+BB73+BI73+BP73+BW73</f>
        <v>0</v>
      </c>
      <c r="CL73" s="5"/>
      <c r="CM73" s="37">
        <f>IFERROR(CK73/CJ73,0)</f>
        <v>0</v>
      </c>
      <c r="CO73" s="5">
        <f>I73+P73+W73+AD73+AK73+AR73+AY73+BF73+BM73</f>
        <v>0</v>
      </c>
      <c r="CQ73" s="5">
        <v>0</v>
      </c>
      <c r="CR73" s="5">
        <f>+E73+L73+S73+Z73+AG73+AN73+AU73+BB73+BI73+BP73+BW73+CD73</f>
        <v>0</v>
      </c>
      <c r="CS73" s="5">
        <f>CR73-CQ73</f>
        <v>0</v>
      </c>
      <c r="CT73" s="37">
        <f>IFERROR(CR73/CQ73,0)</f>
        <v>0</v>
      </c>
      <c r="CV73" s="5"/>
      <c r="CX73" s="5">
        <f>BO73+BV73+CC73</f>
        <v>0</v>
      </c>
      <c r="CY73" s="5">
        <f>BO73+BV73+CC73</f>
        <v>0</v>
      </c>
      <c r="CZ73" s="5">
        <f>CY73*(1+($CY$3))</f>
        <v>0</v>
      </c>
      <c r="DA73" s="5">
        <f>+CZ73+CR73</f>
        <v>0</v>
      </c>
    </row>
    <row r="74" spans="1:105" s="26" customFormat="1" ht="16.5" customHeight="1" x14ac:dyDescent="0.3">
      <c r="A74" s="35">
        <v>47</v>
      </c>
      <c r="B74" s="36" t="s">
        <v>66</v>
      </c>
      <c r="D74" s="3">
        <v>0</v>
      </c>
      <c r="E74" s="3">
        <v>0</v>
      </c>
      <c r="F74" s="3">
        <f>E74-D74</f>
        <v>0</v>
      </c>
      <c r="G74" s="32">
        <f t="shared" si="90"/>
        <v>0</v>
      </c>
      <c r="I74" s="3">
        <v>0</v>
      </c>
      <c r="J74" s="218"/>
      <c r="K74" s="33">
        <v>0</v>
      </c>
      <c r="L74" s="222">
        <v>0</v>
      </c>
      <c r="M74" s="3">
        <v>0</v>
      </c>
      <c r="N74" s="32">
        <f>IFERROR(L74/K74,0)</f>
        <v>0</v>
      </c>
      <c r="P74" s="3">
        <v>0</v>
      </c>
      <c r="R74" s="3">
        <v>0</v>
      </c>
      <c r="S74" s="223">
        <v>0</v>
      </c>
      <c r="T74" s="3">
        <v>0</v>
      </c>
      <c r="U74" s="32">
        <f>IFERROR(S74/R74,0)</f>
        <v>0</v>
      </c>
      <c r="W74" s="3">
        <v>0</v>
      </c>
      <c r="Y74" s="3">
        <v>0</v>
      </c>
      <c r="Z74" s="223">
        <v>0</v>
      </c>
      <c r="AA74" s="3">
        <v>0</v>
      </c>
      <c r="AB74" s="32"/>
      <c r="AD74" s="3">
        <v>0</v>
      </c>
      <c r="AF74" s="3">
        <v>0</v>
      </c>
      <c r="AG74" s="3">
        <v>0</v>
      </c>
      <c r="AH74" s="3">
        <v>0</v>
      </c>
      <c r="AI74" s="32">
        <f>IFERROR(AG74/AF74,0)</f>
        <v>0</v>
      </c>
      <c r="AK74" s="3">
        <v>0</v>
      </c>
      <c r="AM74" s="3">
        <v>0</v>
      </c>
      <c r="AN74" s="222">
        <v>0</v>
      </c>
      <c r="AO74" s="3">
        <v>0</v>
      </c>
      <c r="AP74" s="32">
        <f>IFERROR(AN74/AM74,0)</f>
        <v>0</v>
      </c>
      <c r="AR74" s="3"/>
      <c r="AT74" s="3">
        <v>0</v>
      </c>
      <c r="AU74" s="3">
        <v>0</v>
      </c>
      <c r="AV74" s="3">
        <v>0</v>
      </c>
      <c r="AW74" s="32">
        <f>IFERROR(AU74/AT74,0)</f>
        <v>0</v>
      </c>
      <c r="AY74" s="3">
        <v>0</v>
      </c>
      <c r="BA74" s="3">
        <v>0</v>
      </c>
      <c r="BB74" s="222">
        <v>0</v>
      </c>
      <c r="BC74" s="222">
        <v>0</v>
      </c>
      <c r="BD74" s="32">
        <f>IFERROR(BB74/BA74,0)</f>
        <v>0</v>
      </c>
      <c r="BF74" s="3"/>
      <c r="BH74" s="3">
        <v>0</v>
      </c>
      <c r="BI74" s="222">
        <v>0</v>
      </c>
      <c r="BJ74" s="222">
        <v>0</v>
      </c>
      <c r="BK74" s="32">
        <f>IFERROR(BI74/BH74,0)</f>
        <v>0</v>
      </c>
      <c r="BM74" s="3">
        <v>0</v>
      </c>
      <c r="BO74" s="3">
        <v>0</v>
      </c>
      <c r="BP74" s="3">
        <v>0</v>
      </c>
      <c r="BQ74" s="3">
        <v>0</v>
      </c>
      <c r="BR74" s="32">
        <f>IFERROR(BP74/BO74,0)</f>
        <v>0</v>
      </c>
      <c r="BT74" s="3">
        <v>0</v>
      </c>
      <c r="BV74" s="3">
        <v>0</v>
      </c>
      <c r="BW74" s="3">
        <v>0</v>
      </c>
      <c r="BX74" s="3">
        <v>0</v>
      </c>
      <c r="BY74" s="32">
        <f>IFERROR(BW74/BV74,0)</f>
        <v>0</v>
      </c>
      <c r="CA74" s="3">
        <v>0</v>
      </c>
      <c r="CC74" s="7">
        <v>0</v>
      </c>
      <c r="CD74" s="7">
        <v>0</v>
      </c>
      <c r="CE74" s="3">
        <v>0</v>
      </c>
      <c r="CF74" s="32">
        <f>IFERROR(CD74/CC74,0)</f>
        <v>0</v>
      </c>
      <c r="CH74" s="3">
        <v>0</v>
      </c>
      <c r="CJ74" s="225">
        <f>+D74+K74+R74+Y74+AF74+AM74+AT74+BA74+BH74+BO74+BV74</f>
        <v>0</v>
      </c>
      <c r="CK74" s="3">
        <f>E74+L74+S74+Z74+AG74+AN74+AU74+BB74+BI74+BP74+BW74</f>
        <v>0</v>
      </c>
      <c r="CL74" s="3"/>
      <c r="CM74" s="32">
        <f>IFERROR(CK74/CJ74,0)</f>
        <v>0</v>
      </c>
      <c r="CO74" s="3">
        <f>I74+P74+W74+AD74+AK74+AR74+AY74+BF74+BM74</f>
        <v>0</v>
      </c>
      <c r="CQ74" s="3">
        <v>0</v>
      </c>
      <c r="CR74" s="3">
        <f>+E74+L74+S74+Z74+AG74+AN74+AU74+BB74+BI74+BP74+BW74+CD74</f>
        <v>0</v>
      </c>
      <c r="CS74" s="3">
        <v>0</v>
      </c>
      <c r="CT74" s="32">
        <f>IFERROR(CR74/CQ74,0)</f>
        <v>0</v>
      </c>
      <c r="CV74" s="3">
        <f>+I74+P74+W74+AD74+AK74+AR74+AY74+BF74+BM74+BT74+CA74+CH74</f>
        <v>0</v>
      </c>
      <c r="CX74" s="3">
        <f>BO74+BV74+CC74</f>
        <v>0</v>
      </c>
      <c r="CY74" s="3">
        <f>BO74+BV74+CC74</f>
        <v>0</v>
      </c>
      <c r="CZ74" s="3">
        <f>CY74*(1+($CY$3))</f>
        <v>0</v>
      </c>
      <c r="DA74" s="3">
        <f>+CZ74+CR74</f>
        <v>0</v>
      </c>
    </row>
    <row r="75" spans="1:105" s="31" customFormat="1" ht="16.5" customHeight="1" x14ac:dyDescent="0.3">
      <c r="A75" s="47"/>
      <c r="B75" s="48" t="s">
        <v>67</v>
      </c>
      <c r="D75" s="54">
        <f>+D72+D50</f>
        <v>158866916</v>
      </c>
      <c r="E75" s="54">
        <f>+E72+E50</f>
        <v>208482842.18000001</v>
      </c>
      <c r="F75" s="54">
        <f>+F72+F50</f>
        <v>49615926.180000022</v>
      </c>
      <c r="G75" s="49">
        <f t="shared" si="90"/>
        <v>1.3123112566747377</v>
      </c>
      <c r="I75" s="54">
        <f>+I72+I50</f>
        <v>183207703.85999995</v>
      </c>
      <c r="J75" s="221"/>
      <c r="K75" s="54">
        <f>+K72+K50</f>
        <v>68582502</v>
      </c>
      <c r="L75" s="279">
        <f>+L72+L50</f>
        <v>125043723.87</v>
      </c>
      <c r="M75" s="54">
        <f>+M72+M50</f>
        <v>56461221.86999999</v>
      </c>
      <c r="N75" s="49">
        <f>IFERROR(L75/K75,0)</f>
        <v>1.8232598727587979</v>
      </c>
      <c r="P75" s="54">
        <f>+P72+P50</f>
        <v>79509731.00999999</v>
      </c>
      <c r="R75" s="54">
        <f>+R72+R50</f>
        <v>59334149</v>
      </c>
      <c r="S75" s="279">
        <f>+S72+S50</f>
        <v>99365165.329999998</v>
      </c>
      <c r="T75" s="54">
        <f>+T72+T50</f>
        <v>40031016.329999998</v>
      </c>
      <c r="U75" s="49">
        <f>IFERROR(S75/R75,0)</f>
        <v>1.6746707756775949</v>
      </c>
      <c r="W75" s="54">
        <f>+W72+W50</f>
        <v>76327814.069999993</v>
      </c>
      <c r="Y75" s="54">
        <f>+Y72+Y50</f>
        <v>69627126</v>
      </c>
      <c r="Z75" s="279">
        <f>+Z72+Z50</f>
        <v>117215824.31</v>
      </c>
      <c r="AA75" s="54">
        <f>+AA72+AA50</f>
        <v>47588698.310000002</v>
      </c>
      <c r="AB75" s="49">
        <f>IFERROR(Z75/Y75,0)</f>
        <v>1.6834792852142137</v>
      </c>
      <c r="AD75" s="54">
        <f>+AD72+AD50</f>
        <v>87541486.810000002</v>
      </c>
      <c r="AF75" s="54">
        <f>+AF72+AF50</f>
        <v>67055310</v>
      </c>
      <c r="AG75" s="54">
        <f>+AG72+AG50</f>
        <v>113675596.69999999</v>
      </c>
      <c r="AH75" s="54">
        <f>+AH72+AH50</f>
        <v>46620286.700000003</v>
      </c>
      <c r="AI75" s="49">
        <f>IFERROR(AG75/AF75,0)</f>
        <v>1.695251229171858</v>
      </c>
      <c r="AK75" s="54">
        <f>+AK72+AK50</f>
        <v>73841200.810000002</v>
      </c>
      <c r="AM75" s="54">
        <f>+AM72+AM50</f>
        <v>73077040</v>
      </c>
      <c r="AN75" s="279">
        <f>+AN72+AN50</f>
        <v>104913577.06</v>
      </c>
      <c r="AO75" s="54">
        <f>+AO72+AO50</f>
        <v>11403619.759999998</v>
      </c>
      <c r="AP75" s="49">
        <f>IFERROR(AN75/AM75,0)</f>
        <v>1.4356571785064092</v>
      </c>
      <c r="AR75" s="54">
        <f>+AR72+AR50</f>
        <v>91093811.530000001</v>
      </c>
      <c r="AT75" s="54">
        <f>+AT72+AT50</f>
        <v>70355936</v>
      </c>
      <c r="AU75" s="54">
        <f>+AU72+AU50</f>
        <v>124703997.36</v>
      </c>
      <c r="AV75" s="54">
        <f>+AV72+AV50</f>
        <v>12631530.799999997</v>
      </c>
      <c r="AW75" s="49">
        <f>IFERROR(AU75/AT75,0)</f>
        <v>1.7724730058313771</v>
      </c>
      <c r="AY75" s="54">
        <f>+AY72+AY50</f>
        <v>91505810.379999995</v>
      </c>
      <c r="BA75" s="54">
        <f>+BA72+BA50</f>
        <v>62754916</v>
      </c>
      <c r="BB75" s="279">
        <f>+BB72+BB50</f>
        <v>118074302.09999999</v>
      </c>
      <c r="BC75" s="279">
        <f>+BC72+BC50</f>
        <v>29461669.800000004</v>
      </c>
      <c r="BD75" s="49">
        <f>IFERROR(BB75/BA75,0)</f>
        <v>1.8815147820451228</v>
      </c>
      <c r="BF75" s="54">
        <f>+BF72+BF50</f>
        <v>70046594.879999995</v>
      </c>
      <c r="BH75" s="54">
        <f>+BH72+BH50</f>
        <v>68881157</v>
      </c>
      <c r="BI75" s="279">
        <f>+BI72+BI50</f>
        <v>138624634.84999999</v>
      </c>
      <c r="BJ75" s="279">
        <f>+BJ72+BJ50</f>
        <v>9269751.0799999982</v>
      </c>
      <c r="BK75" s="49">
        <f>IFERROR(BI75/BH75,0)</f>
        <v>2.0125189658181846</v>
      </c>
      <c r="BM75" s="54">
        <f>+BM72+BM50</f>
        <v>87202868.289999992</v>
      </c>
      <c r="BO75" s="54">
        <f>+BO72+BO50</f>
        <v>68105283</v>
      </c>
      <c r="BP75" s="54">
        <f>+BP72+BP50</f>
        <v>122160161.52000001</v>
      </c>
      <c r="BQ75" s="54">
        <f>+BQ72+BQ50</f>
        <v>27216108.060000002</v>
      </c>
      <c r="BR75" s="49">
        <f>IFERROR(BP75/BO75,0)</f>
        <v>1.7936958212184511</v>
      </c>
      <c r="BT75" s="54">
        <f>+BT72+BT50</f>
        <v>85510187.129999995</v>
      </c>
      <c r="BV75" s="54">
        <f>+BV72+BV50</f>
        <v>60456484</v>
      </c>
      <c r="BW75" s="280">
        <f>+BW72+BW50</f>
        <v>120394910.67999999</v>
      </c>
      <c r="BX75" s="54">
        <f>+BX72+BX50</f>
        <v>24014191.799999997</v>
      </c>
      <c r="BY75" s="49">
        <f>IFERROR(BW75/BV75,0)</f>
        <v>1.9914309055749917</v>
      </c>
      <c r="CA75" s="54">
        <f>+CA72+CA50</f>
        <v>101457657.83000001</v>
      </c>
      <c r="CC75" s="54">
        <f>+CC72+CC50</f>
        <v>75654959</v>
      </c>
      <c r="CD75" s="54">
        <f>+CD72+CD50</f>
        <v>173664656.82999998</v>
      </c>
      <c r="CE75" s="54">
        <f>+CE72+CE50</f>
        <v>34481962.25999999</v>
      </c>
      <c r="CF75" s="49">
        <f>IFERROR(CD75/CC75,0)</f>
        <v>2.2954827961773132</v>
      </c>
      <c r="CH75" s="54">
        <f>+CH72+CH50</f>
        <v>143209388.78</v>
      </c>
      <c r="CJ75" s="281">
        <f>+CJ72+CJ50</f>
        <v>902751778</v>
      </c>
      <c r="CK75" s="54">
        <f>+CK72+CK50</f>
        <v>1566319392.79</v>
      </c>
      <c r="CL75" s="54">
        <f>+CL72+CL50</f>
        <v>308331305.96000004</v>
      </c>
      <c r="CM75" s="49">
        <f>IFERROR(CK75/CJ75,0)</f>
        <v>1.7350499117931397</v>
      </c>
      <c r="CO75" s="54">
        <f>+CO72+CO50</f>
        <v>983486410.42000008</v>
      </c>
      <c r="CQ75" s="54">
        <f>+CQ72+CQ50</f>
        <v>902751778</v>
      </c>
      <c r="CR75" s="54">
        <f>+CR72+CR50</f>
        <v>1566319392.79</v>
      </c>
      <c r="CS75" s="54">
        <f>+CS72+CS50</f>
        <v>663567614.78999996</v>
      </c>
      <c r="CT75" s="49">
        <f>IFERROR(CR75/CQ75,0)</f>
        <v>1.7350499117931397</v>
      </c>
      <c r="CV75" s="54">
        <f>+CV72+CV50</f>
        <v>1170454255.3800001</v>
      </c>
      <c r="CX75" s="11">
        <f>BO75+BV75+CC75</f>
        <v>204216726</v>
      </c>
      <c r="CY75" s="11">
        <f>BO75+BV75+CC75</f>
        <v>204216726</v>
      </c>
      <c r="CZ75" s="11">
        <f>+CZ50+CZ72</f>
        <v>252491926.19999999</v>
      </c>
      <c r="DA75" s="11">
        <f>+CZ75+CR75</f>
        <v>1818811318.99</v>
      </c>
    </row>
    <row r="76" spans="1:105" x14ac:dyDescent="0.3">
      <c r="D76" s="282"/>
      <c r="E76" s="283"/>
      <c r="F76" s="214"/>
      <c r="G76" s="214"/>
      <c r="H76" s="214"/>
      <c r="I76" s="283"/>
      <c r="K76" s="214"/>
      <c r="L76" s="284"/>
      <c r="M76" s="283"/>
      <c r="N76" s="214"/>
      <c r="O76" s="214"/>
      <c r="P76" s="214"/>
      <c r="R76" s="214"/>
      <c r="S76" s="214"/>
      <c r="T76" s="214"/>
      <c r="U76" s="214"/>
      <c r="V76" s="214"/>
      <c r="W76" s="214"/>
      <c r="Y76" s="214"/>
      <c r="Z76" s="214"/>
      <c r="AA76" s="214"/>
      <c r="AB76" s="214"/>
      <c r="AC76" s="214"/>
      <c r="AD76" s="214"/>
      <c r="AF76" s="214"/>
      <c r="AG76" s="214"/>
      <c r="AH76" s="214"/>
      <c r="AI76" s="214"/>
      <c r="AJ76" s="214"/>
      <c r="AK76" s="214"/>
      <c r="AM76" s="214"/>
      <c r="AN76" s="214"/>
      <c r="AO76" s="214"/>
      <c r="AP76" s="214"/>
      <c r="AQ76" s="214"/>
      <c r="AR76" s="214"/>
      <c r="AT76" s="214"/>
      <c r="AU76" s="282"/>
      <c r="AV76" s="282"/>
      <c r="AW76" s="214"/>
      <c r="AX76" s="214"/>
      <c r="AY76" s="214"/>
      <c r="BA76" s="214"/>
      <c r="BB76" s="214"/>
      <c r="BC76" s="214"/>
      <c r="BD76" s="214"/>
      <c r="BE76" s="214"/>
      <c r="BF76" s="214"/>
      <c r="BH76" s="214"/>
      <c r="BI76" s="214"/>
      <c r="BJ76" s="214"/>
      <c r="BM76" s="214"/>
      <c r="CJ76" s="58"/>
      <c r="CK76" s="58"/>
      <c r="CX76" s="58"/>
    </row>
    <row r="77" spans="1:105" ht="12.75" hidden="1" customHeight="1" x14ac:dyDescent="0.3">
      <c r="D77" s="59">
        <v>0.36</v>
      </c>
      <c r="E77" s="59">
        <v>0.36</v>
      </c>
      <c r="F77" s="59">
        <v>0.36</v>
      </c>
      <c r="G77" s="59">
        <v>0.36</v>
      </c>
      <c r="I77" s="59">
        <v>0.34</v>
      </c>
      <c r="K77" s="59"/>
      <c r="M77" s="59"/>
      <c r="N77" s="59"/>
      <c r="P77" s="59">
        <v>0.34</v>
      </c>
      <c r="R77" s="59">
        <v>0.38</v>
      </c>
      <c r="S77" s="285"/>
      <c r="T77" s="59"/>
      <c r="U77" s="59"/>
      <c r="W77" s="59">
        <v>0.34</v>
      </c>
      <c r="Y77" s="59">
        <v>0.36</v>
      </c>
      <c r="AA77" s="59"/>
      <c r="AB77" s="59"/>
      <c r="AD77" s="59">
        <v>0.34</v>
      </c>
      <c r="AF77" s="59">
        <v>0.35</v>
      </c>
      <c r="AH77" s="59"/>
      <c r="AI77" s="59"/>
      <c r="AK77" s="59">
        <v>0.34</v>
      </c>
      <c r="AM77" s="59">
        <v>0.32</v>
      </c>
      <c r="AO77" s="59"/>
      <c r="AP77" s="59"/>
      <c r="AR77" s="59">
        <v>0.34</v>
      </c>
      <c r="AT77" s="59">
        <v>0.38</v>
      </c>
      <c r="AV77" s="59"/>
      <c r="AW77" s="59"/>
      <c r="AY77" s="59">
        <v>0.34</v>
      </c>
      <c r="BA77" s="59">
        <v>0.35</v>
      </c>
      <c r="BD77" s="59"/>
      <c r="BF77" s="59">
        <v>0.34</v>
      </c>
      <c r="BH77" s="59">
        <v>0.37</v>
      </c>
      <c r="BK77" s="59"/>
      <c r="BM77" s="59">
        <v>0.34</v>
      </c>
      <c r="BO77" s="59">
        <v>0.38</v>
      </c>
      <c r="BP77" s="59"/>
      <c r="BQ77" s="59"/>
      <c r="BR77" s="59"/>
      <c r="BT77" s="59">
        <v>0.34</v>
      </c>
      <c r="BV77" s="59">
        <v>0.34</v>
      </c>
      <c r="BW77" s="59"/>
      <c r="BX77" s="59"/>
      <c r="BY77" s="59"/>
      <c r="CA77" s="59">
        <v>0.34</v>
      </c>
      <c r="CC77" s="59">
        <v>0.37</v>
      </c>
      <c r="CD77" s="59"/>
      <c r="CE77" s="59"/>
      <c r="CF77" s="59"/>
      <c r="CH77" s="59">
        <v>0.34</v>
      </c>
      <c r="CK77" s="59"/>
      <c r="CL77" s="59"/>
      <c r="CM77" s="59"/>
      <c r="CO77" s="59">
        <v>0.34</v>
      </c>
      <c r="CR77" s="59"/>
      <c r="CS77" s="59"/>
      <c r="CT77" s="59"/>
      <c r="CV77" s="59">
        <v>0.34</v>
      </c>
      <c r="CX77" s="59"/>
      <c r="CY77" s="59"/>
      <c r="CZ77" s="59"/>
      <c r="DA77" s="59"/>
    </row>
    <row r="78" spans="1:105" s="31" customFormat="1" ht="16.5" hidden="1" customHeight="1" x14ac:dyDescent="0.3">
      <c r="A78" s="47"/>
      <c r="B78" s="48" t="s">
        <v>68</v>
      </c>
      <c r="D78" s="56">
        <f>D77*D50</f>
        <v>47595165.839999996</v>
      </c>
      <c r="E78" s="56">
        <f>E77*E50</f>
        <v>62321893.887600005</v>
      </c>
      <c r="F78" s="56">
        <f>F77*F50</f>
        <v>14726728.047600009</v>
      </c>
      <c r="G78" s="56">
        <f>G77*G50</f>
        <v>0.47138992802248852</v>
      </c>
      <c r="I78" s="11">
        <f>I77*I50</f>
        <v>51318734.074399993</v>
      </c>
      <c r="J78" s="221"/>
      <c r="K78" s="11"/>
      <c r="L78" s="286"/>
      <c r="M78" s="61"/>
      <c r="N78" s="61"/>
      <c r="P78" s="11">
        <f>P77*P50</f>
        <v>14553509.640799999</v>
      </c>
      <c r="R78" s="11">
        <f>R77*R50</f>
        <v>12501544.76</v>
      </c>
      <c r="S78" s="287"/>
      <c r="T78" s="61"/>
      <c r="U78" s="61"/>
      <c r="W78" s="11">
        <f>W77*W50</f>
        <v>12289426.126400001</v>
      </c>
      <c r="Y78" s="11">
        <f>Y77*Y50</f>
        <v>12048713.279999999</v>
      </c>
      <c r="Z78" s="286"/>
      <c r="AA78" s="61"/>
      <c r="AB78" s="61"/>
      <c r="AD78" s="11">
        <f>AD77*AD50</f>
        <v>13338505.656600002</v>
      </c>
      <c r="AF78" s="11">
        <f>AF77*AF50</f>
        <v>12942393.1</v>
      </c>
      <c r="AG78" s="288"/>
      <c r="AH78" s="61"/>
      <c r="AI78" s="61"/>
      <c r="AK78" s="11">
        <f>AK77*AK50</f>
        <v>14413409.2578</v>
      </c>
      <c r="AM78" s="11">
        <f>AM77*AM50</f>
        <v>13343912.960000001</v>
      </c>
      <c r="AN78" s="286"/>
      <c r="AO78" s="61"/>
      <c r="AP78" s="61"/>
      <c r="AR78" s="11">
        <f>AR77*AR50</f>
        <v>20622235.060200002</v>
      </c>
      <c r="AT78" s="11">
        <f>AT77*AT50</f>
        <v>15337513.640000001</v>
      </c>
      <c r="AU78" s="288"/>
      <c r="AV78" s="61"/>
      <c r="AW78" s="61"/>
      <c r="AY78" s="11">
        <f>AY77*AY50</f>
        <v>15277280.649200002</v>
      </c>
      <c r="BA78" s="11">
        <f>BA77*BA50</f>
        <v>11139936.85</v>
      </c>
      <c r="BB78" s="286"/>
      <c r="BC78" s="286"/>
      <c r="BD78" s="61"/>
      <c r="BF78" s="11">
        <f>BF77*BF50</f>
        <v>11849229.459200002</v>
      </c>
      <c r="BH78" s="11">
        <f>BH77*BH50</f>
        <v>15141693.15</v>
      </c>
      <c r="BI78" s="286"/>
      <c r="BJ78" s="286"/>
      <c r="BK78" s="61"/>
      <c r="BM78" s="11">
        <f>BM77*BM50</f>
        <v>16311126.754800001</v>
      </c>
      <c r="BO78" s="11">
        <f>BO77*BO50</f>
        <v>15372526.08</v>
      </c>
      <c r="BP78" s="61"/>
      <c r="BQ78" s="61"/>
      <c r="BR78" s="61"/>
      <c r="BT78" s="11">
        <f>BT77*BT50</f>
        <v>15956608.068</v>
      </c>
      <c r="BV78" s="11">
        <f>BV77*BV50</f>
        <v>11243493.66</v>
      </c>
      <c r="BW78" s="61"/>
      <c r="BX78" s="61"/>
      <c r="BY78" s="61"/>
      <c r="CA78" s="11">
        <f>CA77*CA50</f>
        <v>21130200.095600002</v>
      </c>
      <c r="CC78" s="11">
        <f>CC77*CC50</f>
        <v>17875274.609999999</v>
      </c>
      <c r="CD78" s="61"/>
      <c r="CE78" s="61"/>
      <c r="CF78" s="61"/>
      <c r="CH78" s="11">
        <f>CH77*CH50</f>
        <v>36219809.326400004</v>
      </c>
      <c r="CJ78" s="50" t="e">
        <f>SUM(#REF!)</f>
        <v>#REF!</v>
      </c>
      <c r="CK78" s="61"/>
      <c r="CL78" s="61"/>
      <c r="CM78" s="61"/>
      <c r="CO78" s="11">
        <f>CO77*CO50</f>
        <v>206193266.00580001</v>
      </c>
      <c r="CQ78" s="11">
        <f>SUM(D78:CC78)</f>
        <v>468651055.17958999</v>
      </c>
      <c r="CR78" s="61"/>
      <c r="CS78" s="61"/>
      <c r="CT78" s="61"/>
      <c r="CV78" s="11">
        <f>CV77*CV50</f>
        <v>243280074.16940004</v>
      </c>
      <c r="CX78" s="11"/>
      <c r="CY78" s="11"/>
      <c r="CZ78" s="11"/>
      <c r="DA78" s="11"/>
    </row>
    <row r="79" spans="1:105" ht="12.75" hidden="1" customHeight="1" x14ac:dyDescent="0.3">
      <c r="S79" s="285"/>
    </row>
    <row r="80" spans="1:105" s="64" customFormat="1" ht="12.75" hidden="1" customHeight="1" x14ac:dyDescent="0.3">
      <c r="A80" s="63"/>
      <c r="D80" s="64">
        <v>121332418.16999999</v>
      </c>
      <c r="E80" s="64">
        <v>121332418.16999999</v>
      </c>
      <c r="F80" s="64">
        <v>121332418.16999999</v>
      </c>
      <c r="G80" s="64">
        <v>121332418.16999999</v>
      </c>
      <c r="J80" s="289"/>
      <c r="L80" s="290"/>
      <c r="S80" s="291"/>
      <c r="Z80" s="290"/>
      <c r="AG80" s="292"/>
      <c r="AN80" s="290"/>
      <c r="AU80" s="292"/>
      <c r="BB80" s="290"/>
      <c r="BC80" s="290"/>
      <c r="BI80" s="290"/>
      <c r="BJ80" s="290"/>
    </row>
    <row r="81" spans="1:105" s="31" customFormat="1" ht="16.5" hidden="1" customHeight="1" x14ac:dyDescent="0.3">
      <c r="A81" s="47"/>
      <c r="B81" s="48" t="s">
        <v>69</v>
      </c>
      <c r="D81" s="11">
        <f>D80-D50</f>
        <v>-10876375.830000013</v>
      </c>
      <c r="E81" s="11">
        <f>E80-E50</f>
        <v>-51783953.740000039</v>
      </c>
      <c r="F81" s="11">
        <f>F80-F50</f>
        <v>80424840.259999961</v>
      </c>
      <c r="G81" s="11">
        <f>G80-G50</f>
        <v>121332416.86058351</v>
      </c>
      <c r="I81" s="11">
        <f>+I55+I77+I78+I79</f>
        <v>51878295.414399996</v>
      </c>
      <c r="J81" s="221"/>
      <c r="K81" s="11"/>
      <c r="L81" s="286"/>
      <c r="M81" s="61"/>
      <c r="N81" s="61"/>
      <c r="P81" s="11">
        <f>+P55+P77+P78+P79</f>
        <v>15106393.980799999</v>
      </c>
      <c r="R81" s="11">
        <f>+R55+R77+R78+R79</f>
        <v>13089086.140000001</v>
      </c>
      <c r="S81" s="287"/>
      <c r="T81" s="61"/>
      <c r="U81" s="61"/>
      <c r="W81" s="11">
        <f>+W55+W77+W78+W79</f>
        <v>12848987.466400001</v>
      </c>
      <c r="Y81" s="11">
        <f>+Y55+Y77+Y78+Y79</f>
        <v>12864280.639999999</v>
      </c>
      <c r="Z81" s="286"/>
      <c r="AA81" s="61"/>
      <c r="AB81" s="61"/>
      <c r="AD81" s="11">
        <f>+AD55+AD77+AD78+AD79</f>
        <v>14115433.996600002</v>
      </c>
      <c r="AF81" s="11">
        <f>+AF55+AF77+AF78+AF79</f>
        <v>13441719.449999999</v>
      </c>
      <c r="AG81" s="288"/>
      <c r="AH81" s="61"/>
      <c r="AI81" s="61"/>
      <c r="AK81" s="11">
        <f>+AK55+AK77+AK78+AK79</f>
        <v>14889072.5978</v>
      </c>
      <c r="AM81" s="11">
        <f>+AM55+AM77+AM78+AM79</f>
        <v>13931454.280000001</v>
      </c>
      <c r="AN81" s="286"/>
      <c r="AO81" s="61"/>
      <c r="AP81" s="61"/>
      <c r="AR81" s="11">
        <f>+AR55+AR77+AR78+AR79</f>
        <v>21181796.400200002</v>
      </c>
      <c r="AT81" s="11">
        <f>+AT55+AT77+AT78+AT79</f>
        <v>16514260.02</v>
      </c>
      <c r="AU81" s="288"/>
      <c r="AV81" s="61"/>
      <c r="AW81" s="61"/>
      <c r="AY81" s="11">
        <f>+AY55+AY77+AY78+AY79</f>
        <v>16398442.989200002</v>
      </c>
      <c r="BA81" s="11">
        <f>+BA55+BA77+BA78+BA79</f>
        <v>11727478.199999999</v>
      </c>
      <c r="BB81" s="286"/>
      <c r="BC81" s="286"/>
      <c r="BD81" s="61"/>
      <c r="BF81" s="11">
        <f>+BF55+BF77+BF78+BF79</f>
        <v>12408790.799200002</v>
      </c>
      <c r="BH81" s="11">
        <f>+BH55+BH77+BH78+BH79</f>
        <v>15729234.52</v>
      </c>
      <c r="BI81" s="286"/>
      <c r="BJ81" s="286"/>
      <c r="BK81" s="61"/>
      <c r="BM81" s="11">
        <f>+BM55+BM77+BM78+BM79</f>
        <v>16870688.094800003</v>
      </c>
      <c r="BO81" s="11">
        <f>+BO55+BO77+BO78+BO79</f>
        <v>16464387.460000001</v>
      </c>
      <c r="BP81" s="61"/>
      <c r="BQ81" s="61"/>
      <c r="BR81" s="61"/>
      <c r="BT81" s="11">
        <f>+BT55+BT77+BT78+BT79</f>
        <v>16996787.408</v>
      </c>
      <c r="BV81" s="11">
        <f>+BV55+BV77+BV78+BV79</f>
        <v>11830203</v>
      </c>
      <c r="BW81" s="61"/>
      <c r="BX81" s="61"/>
      <c r="BY81" s="61"/>
      <c r="CA81" s="11">
        <f>+CA55+CA77+CA78+CA79</f>
        <v>21689761.435600001</v>
      </c>
      <c r="CC81" s="11">
        <f>+CC55+CC77+CC78+CC79</f>
        <v>18509417.98</v>
      </c>
      <c r="CD81" s="61"/>
      <c r="CE81" s="61"/>
      <c r="CF81" s="61"/>
      <c r="CH81" s="11">
        <f>+CH55+CH77+CH78+CH79</f>
        <v>36779370.666400008</v>
      </c>
      <c r="CJ81" s="50" t="e">
        <f>SUM(#REF!)</f>
        <v>#REF!</v>
      </c>
      <c r="CK81" s="61"/>
      <c r="CL81" s="61"/>
      <c r="CM81" s="61"/>
      <c r="CO81" s="11">
        <f>+CO55+CO77+CO78+CO79</f>
        <v>212477269.34580001</v>
      </c>
      <c r="CQ81" s="11">
        <f>SUM(D81:CC81)</f>
        <v>497582899.82358336</v>
      </c>
      <c r="CR81" s="61"/>
      <c r="CS81" s="61"/>
      <c r="CT81" s="61"/>
      <c r="CV81" s="11">
        <f>+CV55+CV77+CV78+CV79</f>
        <v>251163817.50940004</v>
      </c>
      <c r="CX81" s="11"/>
      <c r="CY81" s="11"/>
      <c r="CZ81" s="11"/>
      <c r="DA81" s="11"/>
    </row>
    <row r="82" spans="1:105" ht="12.75" hidden="1" customHeight="1" x14ac:dyDescent="0.3">
      <c r="D82" s="66">
        <f>D80/D50-1</f>
        <v>-8.2266659432654765E-2</v>
      </c>
      <c r="E82" s="66">
        <f>E80/E50-1</f>
        <v>-0.29912799793956835</v>
      </c>
      <c r="F82" s="66">
        <f>F80/F50-1</f>
        <v>1.9660132515530764</v>
      </c>
      <c r="G82" s="66">
        <f>G80/G50-1</f>
        <v>92661441.140775174</v>
      </c>
      <c r="S82" s="285"/>
    </row>
    <row r="83" spans="1:105" x14ac:dyDescent="0.3">
      <c r="D83" s="58"/>
      <c r="E83" s="293"/>
      <c r="F83" s="293"/>
      <c r="G83" s="293"/>
      <c r="H83" s="293"/>
      <c r="I83" s="293"/>
      <c r="J83" s="294"/>
      <c r="K83" s="58"/>
      <c r="L83" s="295"/>
      <c r="M83" s="293"/>
      <c r="N83" s="293"/>
      <c r="O83" s="293"/>
      <c r="P83" s="293"/>
      <c r="Q83" s="293"/>
      <c r="R83" s="58"/>
      <c r="S83" s="296"/>
      <c r="T83" s="293"/>
      <c r="U83" s="293"/>
      <c r="V83" s="293"/>
      <c r="W83" s="293"/>
      <c r="X83" s="293"/>
      <c r="Y83" s="293"/>
      <c r="Z83" s="295"/>
      <c r="AA83" s="293"/>
      <c r="AB83" s="293"/>
      <c r="AC83" s="293"/>
      <c r="AD83" s="293"/>
      <c r="AE83" s="293"/>
      <c r="AF83" s="293"/>
      <c r="AG83" s="296"/>
      <c r="AK83" s="58"/>
      <c r="AN83" s="295"/>
      <c r="AT83" s="297"/>
      <c r="AU83" s="298"/>
      <c r="CJ83" s="299"/>
      <c r="CK83" s="300"/>
      <c r="CR83" s="69"/>
    </row>
    <row r="84" spans="1:105" x14ac:dyDescent="0.3">
      <c r="AM84" s="58"/>
      <c r="AO84" s="200"/>
      <c r="CJ84" s="21"/>
      <c r="CK84" s="200"/>
    </row>
    <row r="85" spans="1:105" x14ac:dyDescent="0.3">
      <c r="AM85" s="58"/>
    </row>
    <row r="86" spans="1:105" x14ac:dyDescent="0.3">
      <c r="BI86" s="58"/>
    </row>
  </sheetData>
  <mergeCells count="29">
    <mergeCell ref="AK1:AK2"/>
    <mergeCell ref="A1:A2"/>
    <mergeCell ref="B1:B2"/>
    <mergeCell ref="D1:G1"/>
    <mergeCell ref="I1:I2"/>
    <mergeCell ref="K1:N1"/>
    <mergeCell ref="P1:P2"/>
    <mergeCell ref="R1:U1"/>
    <mergeCell ref="W1:W2"/>
    <mergeCell ref="Y1:AB1"/>
    <mergeCell ref="AD1:AD2"/>
    <mergeCell ref="AF1:AI1"/>
    <mergeCell ref="CA1:CA2"/>
    <mergeCell ref="AM1:AP1"/>
    <mergeCell ref="AR1:AR2"/>
    <mergeCell ref="AT1:AW1"/>
    <mergeCell ref="AY1:AY2"/>
    <mergeCell ref="BA1:BD1"/>
    <mergeCell ref="BF1:BF2"/>
    <mergeCell ref="BH1:BK1"/>
    <mergeCell ref="BM1:BM2"/>
    <mergeCell ref="BO1:BR1"/>
    <mergeCell ref="BT1:BT2"/>
    <mergeCell ref="BV1:BY1"/>
    <mergeCell ref="CC1:CF1"/>
    <mergeCell ref="CH1:CH2"/>
    <mergeCell ref="CJ1:CM1"/>
    <mergeCell ref="CO1:CO2"/>
    <mergeCell ref="CX1:CX2"/>
  </mergeCells>
  <conditionalFormatting sqref="AA52:AA61 AA73:AA74 AO73:AO74 AV73:AV74 BC73:BC74 AH73:AH74 AA19:AA21 AH19:AH21 AV19:AV21 BC19:BC21 AA23:AA24 AH23:AH24 AV23:AV24 AA26:AA33 AH26:AH33 AO26:AO33 AV26:AV33 BC26:BC33 AA40:AA44 AH40:AH44 AO40:AO44 AV40:AV44 BC40:BC44 AA46 AH46 AO46 AV46 BC46 AA48 AH48 AO48 AV48 BC48 AH51:AH61 AO51:AO61 AV51:AV61 BC51:BC61 AA63:AA65 AH63:AH65 AO63:AO65 AV63:AV65 BC63:BC65 AA67:AA70 AO67:AO70 AV67:AV70 AH67:AH70 AA4:AA17 AH4:AH17 AO4:AO17 AV4:AV17 BC4:BC17 BC67:BC70 AO19:AO21 AO23:AO24 BC23:BC24 BC35:BC38 AV35:AV38 AO35:AO38 AH35:AH38 AA35:AA38">
    <cfRule type="cellIs" dxfId="130" priority="120" operator="lessThan">
      <formula>0</formula>
    </cfRule>
  </conditionalFormatting>
  <conditionalFormatting sqref="T73:T74 T19:T21 T23:T24 T26:T33 T40:T44 T46 T48 T63:T65 T67:T70 T51:T61 T4:T17 T35:T38">
    <cfRule type="cellIs" dxfId="129" priority="119" operator="lessThan">
      <formula>0</formula>
    </cfRule>
  </conditionalFormatting>
  <conditionalFormatting sqref="M73:M74 M64:M65 M19:M21 M26:M33 M40:M44 M46 M48 M51:M61 M67:M70 M4:M17 M23:M24 M35:M38">
    <cfRule type="cellIs" dxfId="128" priority="118" operator="lessThan">
      <formula>0</formula>
    </cfRule>
  </conditionalFormatting>
  <conditionalFormatting sqref="AA51">
    <cfRule type="cellIs" dxfId="127" priority="117" operator="lessThan">
      <formula>0</formula>
    </cfRule>
  </conditionalFormatting>
  <conditionalFormatting sqref="F20:F21 F23:F24 F46 F48 F52:F61 F64:F65 F73:F74 F68:F69 F26:F33 F40:F44 F4:F17 F35:F38">
    <cfRule type="cellIs" dxfId="126" priority="116" operator="lessThan">
      <formula>0</formula>
    </cfRule>
  </conditionalFormatting>
  <conditionalFormatting sqref="CL51">
    <cfRule type="cellIs" dxfId="125" priority="114" operator="lessThan">
      <formula>0</formula>
    </cfRule>
  </conditionalFormatting>
  <conditionalFormatting sqref="CM735 CL4:CL17 CL67:CL70 CS4:CS17 CS19:CS21 CS23:CS33 CS46 CS48 CS51:CS61 CS63:CS65 CS67:CS70 CS72:CS75 CS35:CS44">
    <cfRule type="cellIs" dxfId="124" priority="115" operator="lessThan">
      <formula>0</formula>
    </cfRule>
  </conditionalFormatting>
  <conditionalFormatting sqref="CE71">
    <cfRule type="cellIs" dxfId="123" priority="6" operator="lessThan">
      <formula>0</formula>
    </cfRule>
  </conditionalFormatting>
  <conditionalFormatting sqref="AH18">
    <cfRule type="cellIs" dxfId="122" priority="113" operator="lessThan">
      <formula>0</formula>
    </cfRule>
  </conditionalFormatting>
  <conditionalFormatting sqref="CL18">
    <cfRule type="cellIs" dxfId="121" priority="112" operator="lessThan">
      <formula>0</formula>
    </cfRule>
  </conditionalFormatting>
  <conditionalFormatting sqref="F18">
    <cfRule type="cellIs" dxfId="120" priority="111" operator="lessThan">
      <formula>0</formula>
    </cfRule>
  </conditionalFormatting>
  <conditionalFormatting sqref="M18">
    <cfRule type="cellIs" dxfId="119" priority="110" operator="lessThan">
      <formula>0</formula>
    </cfRule>
  </conditionalFormatting>
  <conditionalFormatting sqref="T18">
    <cfRule type="cellIs" dxfId="118" priority="109" operator="lessThan">
      <formula>0</formula>
    </cfRule>
  </conditionalFormatting>
  <conditionalFormatting sqref="AA18">
    <cfRule type="cellIs" dxfId="117" priority="108" operator="lessThan">
      <formula>0</formula>
    </cfRule>
  </conditionalFormatting>
  <conditionalFormatting sqref="AO18">
    <cfRule type="cellIs" dxfId="116" priority="107" operator="lessThan">
      <formula>0</formula>
    </cfRule>
  </conditionalFormatting>
  <conditionalFormatting sqref="AV18">
    <cfRule type="cellIs" dxfId="115" priority="106" operator="lessThan">
      <formula>0</formula>
    </cfRule>
  </conditionalFormatting>
  <conditionalFormatting sqref="BC18">
    <cfRule type="cellIs" dxfId="114" priority="105" operator="lessThan">
      <formula>0</formula>
    </cfRule>
  </conditionalFormatting>
  <conditionalFormatting sqref="BJ18">
    <cfRule type="cellIs" dxfId="113" priority="104" operator="lessThan">
      <formula>0</formula>
    </cfRule>
  </conditionalFormatting>
  <conditionalFormatting sqref="CE18">
    <cfRule type="cellIs" dxfId="112" priority="101" operator="lessThan">
      <formula>0</formula>
    </cfRule>
  </conditionalFormatting>
  <conditionalFormatting sqref="BQ18">
    <cfRule type="cellIs" dxfId="111" priority="103" operator="lessThan">
      <formula>0</formula>
    </cfRule>
  </conditionalFormatting>
  <conditionalFormatting sqref="BX18">
    <cfRule type="cellIs" dxfId="110" priority="102" operator="lessThan">
      <formula>0</formula>
    </cfRule>
  </conditionalFormatting>
  <conditionalFormatting sqref="AH22">
    <cfRule type="cellIs" dxfId="109" priority="100" operator="lessThan">
      <formula>0</formula>
    </cfRule>
  </conditionalFormatting>
  <conditionalFormatting sqref="CL22">
    <cfRule type="cellIs" dxfId="108" priority="99" operator="lessThan">
      <formula>0</formula>
    </cfRule>
  </conditionalFormatting>
  <conditionalFormatting sqref="F22">
    <cfRule type="cellIs" dxfId="107" priority="98" operator="lessThan">
      <formula>0</formula>
    </cfRule>
  </conditionalFormatting>
  <conditionalFormatting sqref="M22">
    <cfRule type="cellIs" dxfId="106" priority="97" operator="lessThan">
      <formula>0</formula>
    </cfRule>
  </conditionalFormatting>
  <conditionalFormatting sqref="T22">
    <cfRule type="cellIs" dxfId="105" priority="96" operator="lessThan">
      <formula>0</formula>
    </cfRule>
  </conditionalFormatting>
  <conditionalFormatting sqref="AA22">
    <cfRule type="cellIs" dxfId="104" priority="95" operator="lessThan">
      <formula>0</formula>
    </cfRule>
  </conditionalFormatting>
  <conditionalFormatting sqref="AO22">
    <cfRule type="cellIs" dxfId="103" priority="94" operator="lessThan">
      <formula>0</formula>
    </cfRule>
  </conditionalFormatting>
  <conditionalFormatting sqref="AV22">
    <cfRule type="cellIs" dxfId="102" priority="93" operator="lessThan">
      <formula>0</formula>
    </cfRule>
  </conditionalFormatting>
  <conditionalFormatting sqref="BC22">
    <cfRule type="cellIs" dxfId="101" priority="92" operator="lessThan">
      <formula>0</formula>
    </cfRule>
  </conditionalFormatting>
  <conditionalFormatting sqref="BJ22">
    <cfRule type="cellIs" dxfId="100" priority="91" operator="lessThan">
      <formula>0</formula>
    </cfRule>
  </conditionalFormatting>
  <conditionalFormatting sqref="CE22">
    <cfRule type="cellIs" dxfId="99" priority="88" operator="lessThan">
      <formula>0</formula>
    </cfRule>
  </conditionalFormatting>
  <conditionalFormatting sqref="BQ22">
    <cfRule type="cellIs" dxfId="98" priority="90" operator="lessThan">
      <formula>0</formula>
    </cfRule>
  </conditionalFormatting>
  <conditionalFormatting sqref="BX22">
    <cfRule type="cellIs" dxfId="97" priority="89" operator="lessThan">
      <formula>0</formula>
    </cfRule>
  </conditionalFormatting>
  <conditionalFormatting sqref="AH45">
    <cfRule type="cellIs" dxfId="96" priority="87" operator="lessThan">
      <formula>0</formula>
    </cfRule>
  </conditionalFormatting>
  <conditionalFormatting sqref="CL45">
    <cfRule type="cellIs" dxfId="95" priority="86" operator="lessThan">
      <formula>0</formula>
    </cfRule>
  </conditionalFormatting>
  <conditionalFormatting sqref="F45">
    <cfRule type="cellIs" dxfId="94" priority="85" operator="lessThan">
      <formula>0</formula>
    </cfRule>
  </conditionalFormatting>
  <conditionalFormatting sqref="M45">
    <cfRule type="cellIs" dxfId="93" priority="84" operator="lessThan">
      <formula>0</formula>
    </cfRule>
  </conditionalFormatting>
  <conditionalFormatting sqref="T45">
    <cfRule type="cellIs" dxfId="92" priority="83" operator="lessThan">
      <formula>0</formula>
    </cfRule>
  </conditionalFormatting>
  <conditionalFormatting sqref="AA45">
    <cfRule type="cellIs" dxfId="91" priority="82" operator="lessThan">
      <formula>0</formula>
    </cfRule>
  </conditionalFormatting>
  <conditionalFormatting sqref="AO45">
    <cfRule type="cellIs" dxfId="90" priority="81" operator="lessThan">
      <formula>0</formula>
    </cfRule>
  </conditionalFormatting>
  <conditionalFormatting sqref="AV45">
    <cfRule type="cellIs" dxfId="89" priority="80" operator="lessThan">
      <formula>0</formula>
    </cfRule>
  </conditionalFormatting>
  <conditionalFormatting sqref="BC45">
    <cfRule type="cellIs" dxfId="88" priority="79" operator="lessThan">
      <formula>0</formula>
    </cfRule>
  </conditionalFormatting>
  <conditionalFormatting sqref="BJ45">
    <cfRule type="cellIs" dxfId="87" priority="78" operator="lessThan">
      <formula>0</formula>
    </cfRule>
  </conditionalFormatting>
  <conditionalFormatting sqref="CE45">
    <cfRule type="cellIs" dxfId="86" priority="75" operator="lessThan">
      <formula>0</formula>
    </cfRule>
  </conditionalFormatting>
  <conditionalFormatting sqref="BQ45">
    <cfRule type="cellIs" dxfId="85" priority="77" operator="lessThan">
      <formula>0</formula>
    </cfRule>
  </conditionalFormatting>
  <conditionalFormatting sqref="BX45">
    <cfRule type="cellIs" dxfId="84" priority="76" operator="lessThan">
      <formula>0</formula>
    </cfRule>
  </conditionalFormatting>
  <conditionalFormatting sqref="AH47">
    <cfRule type="cellIs" dxfId="83" priority="74" operator="lessThan">
      <formula>0</formula>
    </cfRule>
  </conditionalFormatting>
  <conditionalFormatting sqref="CL47">
    <cfRule type="cellIs" dxfId="82" priority="73" operator="lessThan">
      <formula>0</formula>
    </cfRule>
  </conditionalFormatting>
  <conditionalFormatting sqref="F47">
    <cfRule type="cellIs" dxfId="81" priority="72" operator="lessThan">
      <formula>0</formula>
    </cfRule>
  </conditionalFormatting>
  <conditionalFormatting sqref="M47">
    <cfRule type="cellIs" dxfId="80" priority="71" operator="lessThan">
      <formula>0</formula>
    </cfRule>
  </conditionalFormatting>
  <conditionalFormatting sqref="T47">
    <cfRule type="cellIs" dxfId="79" priority="70" operator="lessThan">
      <formula>0</formula>
    </cfRule>
  </conditionalFormatting>
  <conditionalFormatting sqref="AA47">
    <cfRule type="cellIs" dxfId="78" priority="69" operator="lessThan">
      <formula>0</formula>
    </cfRule>
  </conditionalFormatting>
  <conditionalFormatting sqref="AO47">
    <cfRule type="cellIs" dxfId="77" priority="68" operator="lessThan">
      <formula>0</formula>
    </cfRule>
  </conditionalFormatting>
  <conditionalFormatting sqref="AV47">
    <cfRule type="cellIs" dxfId="76" priority="67" operator="lessThan">
      <formula>0</formula>
    </cfRule>
  </conditionalFormatting>
  <conditionalFormatting sqref="BC47">
    <cfRule type="cellIs" dxfId="75" priority="66" operator="lessThan">
      <formula>0</formula>
    </cfRule>
  </conditionalFormatting>
  <conditionalFormatting sqref="BJ47">
    <cfRule type="cellIs" dxfId="74" priority="65" operator="lessThan">
      <formula>0</formula>
    </cfRule>
  </conditionalFormatting>
  <conditionalFormatting sqref="CE47">
    <cfRule type="cellIs" dxfId="73" priority="62" operator="lessThan">
      <formula>0</formula>
    </cfRule>
  </conditionalFormatting>
  <conditionalFormatting sqref="BQ47">
    <cfRule type="cellIs" dxfId="72" priority="64" operator="lessThan">
      <formula>0</formula>
    </cfRule>
  </conditionalFormatting>
  <conditionalFormatting sqref="BX47">
    <cfRule type="cellIs" dxfId="71" priority="63" operator="lessThan">
      <formula>0</formula>
    </cfRule>
  </conditionalFormatting>
  <conditionalFormatting sqref="AH49">
    <cfRule type="cellIs" dxfId="70" priority="61" operator="lessThan">
      <formula>0</formula>
    </cfRule>
  </conditionalFormatting>
  <conditionalFormatting sqref="CL49">
    <cfRule type="cellIs" dxfId="69" priority="60" operator="lessThan">
      <formula>0</formula>
    </cfRule>
  </conditionalFormatting>
  <conditionalFormatting sqref="F49">
    <cfRule type="cellIs" dxfId="68" priority="59" operator="lessThan">
      <formula>0</formula>
    </cfRule>
  </conditionalFormatting>
  <conditionalFormatting sqref="M49">
    <cfRule type="cellIs" dxfId="67" priority="58" operator="lessThan">
      <formula>0</formula>
    </cfRule>
  </conditionalFormatting>
  <conditionalFormatting sqref="T49">
    <cfRule type="cellIs" dxfId="66" priority="57" operator="lessThan">
      <formula>0</formula>
    </cfRule>
  </conditionalFormatting>
  <conditionalFormatting sqref="AA49">
    <cfRule type="cellIs" dxfId="65" priority="56" operator="lessThan">
      <formula>0</formula>
    </cfRule>
  </conditionalFormatting>
  <conditionalFormatting sqref="AO49">
    <cfRule type="cellIs" dxfId="64" priority="55" operator="lessThan">
      <formula>0</formula>
    </cfRule>
  </conditionalFormatting>
  <conditionalFormatting sqref="AV49">
    <cfRule type="cellIs" dxfId="63" priority="54" operator="lessThan">
      <formula>0</formula>
    </cfRule>
  </conditionalFormatting>
  <conditionalFormatting sqref="BC49">
    <cfRule type="cellIs" dxfId="62" priority="53" operator="lessThan">
      <formula>0</formula>
    </cfRule>
  </conditionalFormatting>
  <conditionalFormatting sqref="BJ49">
    <cfRule type="cellIs" dxfId="61" priority="52" operator="lessThan">
      <formula>0</formula>
    </cfRule>
  </conditionalFormatting>
  <conditionalFormatting sqref="CE49">
    <cfRule type="cellIs" dxfId="60" priority="49" operator="lessThan">
      <formula>0</formula>
    </cfRule>
  </conditionalFormatting>
  <conditionalFormatting sqref="BQ49">
    <cfRule type="cellIs" dxfId="59" priority="51" operator="lessThan">
      <formula>0</formula>
    </cfRule>
  </conditionalFormatting>
  <conditionalFormatting sqref="BX49">
    <cfRule type="cellIs" dxfId="58" priority="50" operator="lessThan">
      <formula>0</formula>
    </cfRule>
  </conditionalFormatting>
  <conditionalFormatting sqref="BX50 BQ50">
    <cfRule type="cellIs" dxfId="57" priority="48" operator="lessThan">
      <formula>0</formula>
    </cfRule>
  </conditionalFormatting>
  <conditionalFormatting sqref="T50">
    <cfRule type="cellIs" dxfId="56" priority="47" operator="lessThan">
      <formula>0</formula>
    </cfRule>
  </conditionalFormatting>
  <conditionalFormatting sqref="M50">
    <cfRule type="cellIs" dxfId="55" priority="46" operator="lessThan">
      <formula>0</formula>
    </cfRule>
  </conditionalFormatting>
  <conditionalFormatting sqref="CL50">
    <cfRule type="cellIs" dxfId="54" priority="45" operator="lessThan">
      <formula>0</formula>
    </cfRule>
  </conditionalFormatting>
  <conditionalFormatting sqref="AH62">
    <cfRule type="cellIs" dxfId="53" priority="44" operator="lessThan">
      <formula>0</formula>
    </cfRule>
  </conditionalFormatting>
  <conditionalFormatting sqref="CL62">
    <cfRule type="cellIs" dxfId="52" priority="43" operator="lessThan">
      <formula>0</formula>
    </cfRule>
  </conditionalFormatting>
  <conditionalFormatting sqref="F62">
    <cfRule type="cellIs" dxfId="51" priority="42" operator="lessThan">
      <formula>0</formula>
    </cfRule>
  </conditionalFormatting>
  <conditionalFormatting sqref="M62">
    <cfRule type="cellIs" dxfId="50" priority="41" operator="lessThan">
      <formula>0</formula>
    </cfRule>
  </conditionalFormatting>
  <conditionalFormatting sqref="T62">
    <cfRule type="cellIs" dxfId="49" priority="40" operator="lessThan">
      <formula>0</formula>
    </cfRule>
  </conditionalFormatting>
  <conditionalFormatting sqref="AA62">
    <cfRule type="cellIs" dxfId="48" priority="39" operator="lessThan">
      <formula>0</formula>
    </cfRule>
  </conditionalFormatting>
  <conditionalFormatting sqref="AO62">
    <cfRule type="cellIs" dxfId="47" priority="38" operator="lessThan">
      <formula>0</formula>
    </cfRule>
  </conditionalFormatting>
  <conditionalFormatting sqref="AV62">
    <cfRule type="cellIs" dxfId="46" priority="37" operator="lessThan">
      <formula>0</formula>
    </cfRule>
  </conditionalFormatting>
  <conditionalFormatting sqref="BC62">
    <cfRule type="cellIs" dxfId="45" priority="36" operator="lessThan">
      <formula>0</formula>
    </cfRule>
  </conditionalFormatting>
  <conditionalFormatting sqref="BJ62">
    <cfRule type="cellIs" dxfId="44" priority="35" operator="lessThan">
      <formula>0</formula>
    </cfRule>
  </conditionalFormatting>
  <conditionalFormatting sqref="CE62">
    <cfRule type="cellIs" dxfId="43" priority="32" operator="lessThan">
      <formula>0</formula>
    </cfRule>
  </conditionalFormatting>
  <conditionalFormatting sqref="BQ62">
    <cfRule type="cellIs" dxfId="42" priority="34" operator="lessThan">
      <formula>0</formula>
    </cfRule>
  </conditionalFormatting>
  <conditionalFormatting sqref="BX62">
    <cfRule type="cellIs" dxfId="41" priority="33" operator="lessThan">
      <formula>0</formula>
    </cfRule>
  </conditionalFormatting>
  <conditionalFormatting sqref="AH66">
    <cfRule type="cellIs" dxfId="40" priority="31" operator="lessThan">
      <formula>0</formula>
    </cfRule>
  </conditionalFormatting>
  <conditionalFormatting sqref="CL66">
    <cfRule type="cellIs" dxfId="39" priority="30" operator="lessThan">
      <formula>0</formula>
    </cfRule>
  </conditionalFormatting>
  <conditionalFormatting sqref="F66">
    <cfRule type="cellIs" dxfId="38" priority="29" operator="lessThan">
      <formula>0</formula>
    </cfRule>
  </conditionalFormatting>
  <conditionalFormatting sqref="M66">
    <cfRule type="cellIs" dxfId="37" priority="28" operator="lessThan">
      <formula>0</formula>
    </cfRule>
  </conditionalFormatting>
  <conditionalFormatting sqref="T66">
    <cfRule type="cellIs" dxfId="36" priority="27" operator="lessThan">
      <formula>0</formula>
    </cfRule>
  </conditionalFormatting>
  <conditionalFormatting sqref="AA66">
    <cfRule type="cellIs" dxfId="35" priority="26" operator="lessThan">
      <formula>0</formula>
    </cfRule>
  </conditionalFormatting>
  <conditionalFormatting sqref="AO66">
    <cfRule type="cellIs" dxfId="34" priority="25" operator="lessThan">
      <formula>0</formula>
    </cfRule>
  </conditionalFormatting>
  <conditionalFormatting sqref="AV66">
    <cfRule type="cellIs" dxfId="33" priority="24" operator="lessThan">
      <formula>0</formula>
    </cfRule>
  </conditionalFormatting>
  <conditionalFormatting sqref="BC66">
    <cfRule type="cellIs" dxfId="32" priority="23" operator="lessThan">
      <formula>0</formula>
    </cfRule>
  </conditionalFormatting>
  <conditionalFormatting sqref="BJ66">
    <cfRule type="cellIs" dxfId="31" priority="22" operator="lessThan">
      <formula>0</formula>
    </cfRule>
  </conditionalFormatting>
  <conditionalFormatting sqref="BQ66">
    <cfRule type="cellIs" dxfId="30" priority="21" operator="lessThan">
      <formula>0</formula>
    </cfRule>
  </conditionalFormatting>
  <conditionalFormatting sqref="BX66">
    <cfRule type="cellIs" dxfId="29" priority="20" operator="lessThan">
      <formula>0</formula>
    </cfRule>
  </conditionalFormatting>
  <conditionalFormatting sqref="CE66">
    <cfRule type="cellIs" dxfId="28" priority="19" operator="lessThan">
      <formula>0</formula>
    </cfRule>
  </conditionalFormatting>
  <conditionalFormatting sqref="AH71">
    <cfRule type="cellIs" dxfId="27" priority="18" operator="lessThan">
      <formula>0</formula>
    </cfRule>
  </conditionalFormatting>
  <conditionalFormatting sqref="CL71">
    <cfRule type="cellIs" dxfId="26" priority="17" operator="lessThan">
      <formula>0</formula>
    </cfRule>
  </conditionalFormatting>
  <conditionalFormatting sqref="F71">
    <cfRule type="cellIs" dxfId="25" priority="16" operator="lessThan">
      <formula>0</formula>
    </cfRule>
  </conditionalFormatting>
  <conditionalFormatting sqref="M71">
    <cfRule type="cellIs" dxfId="24" priority="15" operator="lessThan">
      <formula>0</formula>
    </cfRule>
  </conditionalFormatting>
  <conditionalFormatting sqref="T71">
    <cfRule type="cellIs" dxfId="23" priority="14" operator="lessThan">
      <formula>0</formula>
    </cfRule>
  </conditionalFormatting>
  <conditionalFormatting sqref="AA71">
    <cfRule type="cellIs" dxfId="22" priority="13" operator="lessThan">
      <formula>0</formula>
    </cfRule>
  </conditionalFormatting>
  <conditionalFormatting sqref="AO71">
    <cfRule type="cellIs" dxfId="21" priority="12" operator="lessThan">
      <formula>0</formula>
    </cfRule>
  </conditionalFormatting>
  <conditionalFormatting sqref="AV71">
    <cfRule type="cellIs" dxfId="20" priority="11" operator="lessThan">
      <formula>0</formula>
    </cfRule>
  </conditionalFormatting>
  <conditionalFormatting sqref="BC71">
    <cfRule type="cellIs" dxfId="19" priority="10" operator="lessThan">
      <formula>0</formula>
    </cfRule>
  </conditionalFormatting>
  <conditionalFormatting sqref="BJ71">
    <cfRule type="cellIs" dxfId="18" priority="9" operator="lessThan">
      <formula>0</formula>
    </cfRule>
  </conditionalFormatting>
  <conditionalFormatting sqref="BQ71">
    <cfRule type="cellIs" dxfId="17" priority="8" operator="lessThan">
      <formula>0</formula>
    </cfRule>
  </conditionalFormatting>
  <conditionalFormatting sqref="BX71">
    <cfRule type="cellIs" dxfId="16" priority="7" operator="lessThan">
      <formula>0</formula>
    </cfRule>
  </conditionalFormatting>
  <conditionalFormatting sqref="AA34 AH34 AO34 AV34 BC34">
    <cfRule type="cellIs" dxfId="15" priority="5" operator="lessThan">
      <formula>0</formula>
    </cfRule>
  </conditionalFormatting>
  <conditionalFormatting sqref="T34">
    <cfRule type="cellIs" dxfId="14" priority="4" operator="lessThan">
      <formula>0</formula>
    </cfRule>
  </conditionalFormatting>
  <conditionalFormatting sqref="M34">
    <cfRule type="cellIs" dxfId="13" priority="3" operator="lessThan">
      <formula>0</formula>
    </cfRule>
  </conditionalFormatting>
  <conditionalFormatting sqref="F34">
    <cfRule type="cellIs" dxfId="12" priority="2" operator="lessThan">
      <formula>0</formula>
    </cfRule>
  </conditionalFormatting>
  <conditionalFormatting sqref="CS34">
    <cfRule type="cellIs" dxfId="1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X91"/>
  <sheetViews>
    <sheetView showGridLines="0" zoomScaleNormal="100" workbookViewId="0">
      <pane xSplit="3" ySplit="3" topLeftCell="CM55" activePane="bottomRight" state="frozen"/>
      <selection activeCell="A8" sqref="A8"/>
      <selection pane="topRight" activeCell="D8" sqref="D8"/>
      <selection pane="bottomLeft" activeCell="A11" sqref="A11"/>
      <selection pane="bottomRight" activeCell="CR72" sqref="CR72"/>
    </sheetView>
  </sheetViews>
  <sheetFormatPr baseColWidth="10" defaultColWidth="11.44140625" defaultRowHeight="13.8" x14ac:dyDescent="0.3"/>
  <cols>
    <col min="1" max="1" width="5.44140625" style="12" customWidth="1"/>
    <col min="2" max="2" width="76.33203125" style="13" bestFit="1" customWidth="1"/>
    <col min="3" max="3" width="3.33203125" style="13" customWidth="1"/>
    <col min="4" max="7" width="14" style="13" customWidth="1"/>
    <col min="8" max="8" width="3.33203125" style="13" customWidth="1"/>
    <col min="9" max="9" width="11.6640625" style="13" customWidth="1"/>
    <col min="10" max="10" width="4.88671875" style="214" customWidth="1"/>
    <col min="11" max="11" width="13" style="13" customWidth="1"/>
    <col min="12" max="12" width="16.88671875" style="215" customWidth="1"/>
    <col min="13" max="13" width="15.109375" style="13" customWidth="1"/>
    <col min="14" max="14" width="9.5546875" style="13" customWidth="1"/>
    <col min="15" max="15" width="3.44140625" style="13" customWidth="1"/>
    <col min="16" max="16" width="11.6640625" style="13" customWidth="1"/>
    <col min="17" max="17" width="3.33203125" style="13" customWidth="1"/>
    <col min="18" max="18" width="12.88671875" style="13" customWidth="1"/>
    <col min="19" max="19" width="12.88671875" style="21" customWidth="1"/>
    <col min="20" max="21" width="12.88671875" style="13" customWidth="1"/>
    <col min="22" max="22" width="3.33203125" style="13" customWidth="1"/>
    <col min="23" max="23" width="12.88671875" style="13" customWidth="1"/>
    <col min="24" max="24" width="3.33203125" style="13" customWidth="1"/>
    <col min="25" max="25" width="12.88671875" style="13" customWidth="1"/>
    <col min="26" max="26" width="12.88671875" style="215" customWidth="1"/>
    <col min="27" max="28" width="12.88671875" style="13" customWidth="1"/>
    <col min="29" max="29" width="3.33203125" style="13" customWidth="1"/>
    <col min="30" max="30" width="12.88671875" style="13" customWidth="1"/>
    <col min="31" max="31" width="3" style="13" customWidth="1"/>
    <col min="32" max="32" width="12.88671875" style="13" customWidth="1"/>
    <col min="33" max="33" width="12.88671875" style="21" customWidth="1"/>
    <col min="34" max="35" width="12.88671875" style="13" customWidth="1"/>
    <col min="36" max="36" width="4.109375" style="13" customWidth="1"/>
    <col min="37" max="37" width="12.88671875" style="13" customWidth="1"/>
    <col min="38" max="38" width="4.44140625" style="13" customWidth="1"/>
    <col min="39" max="39" width="12.88671875" style="13" customWidth="1"/>
    <col min="40" max="40" width="12.88671875" style="215" customWidth="1"/>
    <col min="41" max="42" width="12.88671875" style="13" customWidth="1"/>
    <col min="43" max="43" width="3.33203125" style="13" customWidth="1"/>
    <col min="44" max="44" width="12.88671875" style="13" customWidth="1"/>
    <col min="45" max="45" width="3.33203125" style="13" customWidth="1"/>
    <col min="46" max="46" width="13.6640625" style="13" customWidth="1"/>
    <col min="47" max="47" width="12.88671875" style="21" customWidth="1"/>
    <col min="48" max="49" width="12.88671875" style="13" customWidth="1"/>
    <col min="50" max="50" width="3.33203125" style="13" customWidth="1"/>
    <col min="51" max="51" width="12.88671875" style="13" customWidth="1"/>
    <col min="52" max="52" width="6" style="13" customWidth="1"/>
    <col min="53" max="53" width="13.6640625" style="13" customWidth="1"/>
    <col min="54" max="55" width="12.88671875" style="215" customWidth="1"/>
    <col min="56" max="56" width="12.88671875" style="13" customWidth="1"/>
    <col min="57" max="57" width="3.33203125" style="13" customWidth="1"/>
    <col min="58" max="58" width="12.88671875" style="13" customWidth="1"/>
    <col min="59" max="59" width="3.33203125" style="13" customWidth="1"/>
    <col min="60" max="60" width="12.88671875" style="13" customWidth="1"/>
    <col min="61" max="62" width="12.88671875" style="215" customWidth="1"/>
    <col min="63" max="63" width="12.88671875" style="13" customWidth="1"/>
    <col min="64" max="64" width="3.33203125" style="13" customWidth="1"/>
    <col min="65" max="65" width="12.88671875" style="13" customWidth="1"/>
    <col min="66" max="66" width="4" style="13" customWidth="1"/>
    <col min="67" max="70" width="12.88671875" style="13" customWidth="1"/>
    <col min="71" max="71" width="3.33203125" style="13" customWidth="1"/>
    <col min="72" max="72" width="12.88671875" style="13" customWidth="1"/>
    <col min="73" max="73" width="3.33203125" style="13" customWidth="1"/>
    <col min="74" max="77" width="12.88671875" style="13" customWidth="1"/>
    <col min="78" max="78" width="3.33203125" style="13" customWidth="1"/>
    <col min="79" max="79" width="12.88671875" style="13" customWidth="1"/>
    <col min="80" max="80" width="3.33203125" style="13" customWidth="1"/>
    <col min="81" max="84" width="12.88671875" style="13" customWidth="1"/>
    <col min="85" max="85" width="3.33203125" style="13" customWidth="1"/>
    <col min="86" max="86" width="12.88671875" style="13" customWidth="1"/>
    <col min="87" max="87" width="4.6640625" style="13" customWidth="1"/>
    <col min="88" max="88" width="13" style="13" bestFit="1" customWidth="1"/>
    <col min="89" max="91" width="12.88671875" style="13" customWidth="1"/>
    <col min="92" max="92" width="3.33203125" style="13" customWidth="1"/>
    <col min="93" max="93" width="12.88671875" style="13" customWidth="1"/>
    <col min="94" max="94" width="4.6640625" style="13" customWidth="1"/>
    <col min="95" max="95" width="13" style="13" bestFit="1" customWidth="1"/>
    <col min="96" max="98" width="12.88671875" style="13" customWidth="1"/>
    <col min="99" max="99" width="3.33203125" style="13" customWidth="1"/>
    <col min="100" max="100" width="12.88671875" style="13" customWidth="1"/>
    <col min="101" max="101" width="3.33203125" style="13" customWidth="1"/>
    <col min="102" max="16384" width="11.44140625" style="13"/>
  </cols>
  <sheetData>
    <row r="1" spans="1:102" s="210" customFormat="1" ht="18.75" customHeight="1" x14ac:dyDescent="0.3">
      <c r="A1" s="433" t="s">
        <v>0</v>
      </c>
      <c r="B1" s="433" t="s">
        <v>1</v>
      </c>
      <c r="C1" s="204"/>
      <c r="D1" s="430" t="s">
        <v>70</v>
      </c>
      <c r="E1" s="431"/>
      <c r="F1" s="431"/>
      <c r="G1" s="432"/>
      <c r="H1" s="204"/>
      <c r="I1" s="433">
        <v>2017</v>
      </c>
      <c r="J1" s="204"/>
      <c r="K1" s="430" t="s">
        <v>75</v>
      </c>
      <c r="L1" s="431"/>
      <c r="M1" s="431"/>
      <c r="N1" s="432"/>
      <c r="O1" s="204"/>
      <c r="P1" s="433">
        <v>2017</v>
      </c>
      <c r="Q1" s="204"/>
      <c r="R1" s="430" t="s">
        <v>76</v>
      </c>
      <c r="S1" s="431"/>
      <c r="T1" s="431"/>
      <c r="U1" s="432"/>
      <c r="V1" s="204"/>
      <c r="W1" s="433">
        <v>2017</v>
      </c>
      <c r="X1" s="204"/>
      <c r="Y1" s="430" t="s">
        <v>77</v>
      </c>
      <c r="Z1" s="431"/>
      <c r="AA1" s="431"/>
      <c r="AB1" s="432"/>
      <c r="AC1" s="204"/>
      <c r="AD1" s="433">
        <v>2017</v>
      </c>
      <c r="AE1" s="204"/>
      <c r="AF1" s="430" t="s">
        <v>78</v>
      </c>
      <c r="AG1" s="431"/>
      <c r="AH1" s="431"/>
      <c r="AI1" s="432"/>
      <c r="AJ1" s="204"/>
      <c r="AK1" s="433">
        <v>2017</v>
      </c>
      <c r="AL1" s="204"/>
      <c r="AM1" s="430" t="s">
        <v>79</v>
      </c>
      <c r="AN1" s="431"/>
      <c r="AO1" s="431"/>
      <c r="AP1" s="432"/>
      <c r="AQ1" s="204"/>
      <c r="AR1" s="433">
        <v>2017</v>
      </c>
      <c r="AS1" s="204"/>
      <c r="AT1" s="430" t="s">
        <v>80</v>
      </c>
      <c r="AU1" s="431"/>
      <c r="AV1" s="431"/>
      <c r="AW1" s="432"/>
      <c r="AX1" s="204"/>
      <c r="AY1" s="433">
        <v>2017</v>
      </c>
      <c r="AZ1" s="204"/>
      <c r="BA1" s="430" t="s">
        <v>81</v>
      </c>
      <c r="BB1" s="431"/>
      <c r="BC1" s="431"/>
      <c r="BD1" s="432"/>
      <c r="BE1" s="204"/>
      <c r="BF1" s="433">
        <v>2017</v>
      </c>
      <c r="BG1" s="204"/>
      <c r="BH1" s="430" t="s">
        <v>84</v>
      </c>
      <c r="BI1" s="431"/>
      <c r="BJ1" s="431"/>
      <c r="BK1" s="432"/>
      <c r="BL1" s="204"/>
      <c r="BM1" s="433">
        <v>2017</v>
      </c>
      <c r="BN1" s="204"/>
      <c r="BO1" s="430" t="s">
        <v>85</v>
      </c>
      <c r="BP1" s="431"/>
      <c r="BQ1" s="431"/>
      <c r="BR1" s="432"/>
      <c r="BS1" s="204"/>
      <c r="BT1" s="433">
        <v>2017</v>
      </c>
      <c r="BU1" s="204"/>
      <c r="BV1" s="430" t="s">
        <v>86</v>
      </c>
      <c r="BW1" s="431"/>
      <c r="BX1" s="431"/>
      <c r="BY1" s="432"/>
      <c r="BZ1" s="204"/>
      <c r="CA1" s="433">
        <v>2017</v>
      </c>
      <c r="CB1" s="204"/>
      <c r="CC1" s="430" t="s">
        <v>87</v>
      </c>
      <c r="CD1" s="431"/>
      <c r="CE1" s="431"/>
      <c r="CF1" s="432"/>
      <c r="CG1" s="204"/>
      <c r="CH1" s="433">
        <v>2017</v>
      </c>
      <c r="CI1" s="204"/>
      <c r="CJ1" s="430" t="s">
        <v>109</v>
      </c>
      <c r="CK1" s="431"/>
      <c r="CL1" s="431"/>
      <c r="CM1" s="432"/>
      <c r="CN1" s="204"/>
      <c r="CO1" s="433">
        <v>2017</v>
      </c>
      <c r="CP1" s="204"/>
      <c r="CQ1" s="430" t="s">
        <v>90</v>
      </c>
      <c r="CR1" s="431"/>
      <c r="CS1" s="431"/>
      <c r="CT1" s="432"/>
      <c r="CU1" s="204"/>
      <c r="CV1" s="433">
        <v>2017</v>
      </c>
      <c r="CW1" s="204"/>
      <c r="CX1" s="204"/>
    </row>
    <row r="2" spans="1:102" s="210" customFormat="1" x14ac:dyDescent="0.3">
      <c r="A2" s="434"/>
      <c r="B2" s="434"/>
      <c r="C2" s="204"/>
      <c r="D2" s="211" t="s">
        <v>71</v>
      </c>
      <c r="E2" s="211" t="s">
        <v>72</v>
      </c>
      <c r="F2" s="211" t="s">
        <v>73</v>
      </c>
      <c r="G2" s="211" t="s">
        <v>74</v>
      </c>
      <c r="H2" s="204"/>
      <c r="I2" s="434"/>
      <c r="J2" s="204"/>
      <c r="K2" s="211" t="s">
        <v>71</v>
      </c>
      <c r="L2" s="211" t="s">
        <v>72</v>
      </c>
      <c r="M2" s="211" t="s">
        <v>73</v>
      </c>
      <c r="N2" s="211" t="s">
        <v>74</v>
      </c>
      <c r="O2" s="204"/>
      <c r="P2" s="434"/>
      <c r="Q2" s="204"/>
      <c r="R2" s="211" t="s">
        <v>71</v>
      </c>
      <c r="S2" s="211" t="s">
        <v>72</v>
      </c>
      <c r="T2" s="211" t="s">
        <v>73</v>
      </c>
      <c r="U2" s="211" t="s">
        <v>74</v>
      </c>
      <c r="V2" s="204"/>
      <c r="W2" s="434"/>
      <c r="X2" s="204"/>
      <c r="Y2" s="211" t="s">
        <v>71</v>
      </c>
      <c r="Z2" s="211" t="s">
        <v>72</v>
      </c>
      <c r="AA2" s="211" t="s">
        <v>73</v>
      </c>
      <c r="AB2" s="211" t="s">
        <v>74</v>
      </c>
      <c r="AC2" s="204"/>
      <c r="AD2" s="434"/>
      <c r="AE2" s="204"/>
      <c r="AF2" s="211" t="s">
        <v>71</v>
      </c>
      <c r="AG2" s="211" t="s">
        <v>72</v>
      </c>
      <c r="AH2" s="211" t="s">
        <v>73</v>
      </c>
      <c r="AI2" s="211" t="s">
        <v>74</v>
      </c>
      <c r="AJ2" s="204"/>
      <c r="AK2" s="434"/>
      <c r="AL2" s="204"/>
      <c r="AM2" s="211" t="s">
        <v>71</v>
      </c>
      <c r="AN2" s="211" t="s">
        <v>72</v>
      </c>
      <c r="AO2" s="211" t="s">
        <v>73</v>
      </c>
      <c r="AP2" s="211" t="s">
        <v>74</v>
      </c>
      <c r="AQ2" s="204"/>
      <c r="AR2" s="434"/>
      <c r="AS2" s="204"/>
      <c r="AT2" s="211" t="s">
        <v>71</v>
      </c>
      <c r="AU2" s="211" t="s">
        <v>72</v>
      </c>
      <c r="AV2" s="211" t="s">
        <v>73</v>
      </c>
      <c r="AW2" s="211" t="s">
        <v>74</v>
      </c>
      <c r="AX2" s="204"/>
      <c r="AY2" s="434"/>
      <c r="AZ2" s="204"/>
      <c r="BA2" s="211" t="s">
        <v>71</v>
      </c>
      <c r="BB2" s="211" t="s">
        <v>72</v>
      </c>
      <c r="BC2" s="211" t="s">
        <v>73</v>
      </c>
      <c r="BD2" s="211" t="s">
        <v>74</v>
      </c>
      <c r="BE2" s="204"/>
      <c r="BF2" s="434"/>
      <c r="BG2" s="204"/>
      <c r="BH2" s="211" t="s">
        <v>71</v>
      </c>
      <c r="BI2" s="211" t="s">
        <v>72</v>
      </c>
      <c r="BJ2" s="211" t="s">
        <v>73</v>
      </c>
      <c r="BK2" s="211" t="s">
        <v>74</v>
      </c>
      <c r="BL2" s="204"/>
      <c r="BM2" s="434"/>
      <c r="BN2" s="204"/>
      <c r="BO2" s="211" t="s">
        <v>71</v>
      </c>
      <c r="BP2" s="211" t="s">
        <v>72</v>
      </c>
      <c r="BQ2" s="211" t="s">
        <v>73</v>
      </c>
      <c r="BR2" s="211" t="s">
        <v>74</v>
      </c>
      <c r="BS2" s="204"/>
      <c r="BT2" s="434"/>
      <c r="BU2" s="204"/>
      <c r="BV2" s="211" t="s">
        <v>71</v>
      </c>
      <c r="BW2" s="211" t="s">
        <v>72</v>
      </c>
      <c r="BX2" s="211" t="s">
        <v>73</v>
      </c>
      <c r="BY2" s="211" t="s">
        <v>74</v>
      </c>
      <c r="BZ2" s="204"/>
      <c r="CA2" s="434"/>
      <c r="CB2" s="204"/>
      <c r="CC2" s="211" t="s">
        <v>71</v>
      </c>
      <c r="CD2" s="211" t="s">
        <v>72</v>
      </c>
      <c r="CE2" s="211" t="s">
        <v>73</v>
      </c>
      <c r="CF2" s="211" t="s">
        <v>74</v>
      </c>
      <c r="CG2" s="204"/>
      <c r="CH2" s="434"/>
      <c r="CI2" s="204"/>
      <c r="CJ2" s="211" t="s">
        <v>71</v>
      </c>
      <c r="CK2" s="211" t="s">
        <v>72</v>
      </c>
      <c r="CL2" s="211" t="s">
        <v>73</v>
      </c>
      <c r="CM2" s="211" t="s">
        <v>74</v>
      </c>
      <c r="CN2" s="204"/>
      <c r="CO2" s="434"/>
      <c r="CP2" s="204"/>
      <c r="CQ2" s="211" t="s">
        <v>71</v>
      </c>
      <c r="CR2" s="211" t="s">
        <v>72</v>
      </c>
      <c r="CS2" s="211" t="s">
        <v>73</v>
      </c>
      <c r="CT2" s="211" t="s">
        <v>74</v>
      </c>
      <c r="CU2" s="204"/>
      <c r="CV2" s="434"/>
      <c r="CW2" s="204"/>
      <c r="CX2" s="204"/>
    </row>
    <row r="3" spans="1:102" x14ac:dyDescent="0.3">
      <c r="D3" s="23"/>
      <c r="CL3" s="58"/>
      <c r="CS3" s="58"/>
    </row>
    <row r="4" spans="1:102" s="26" customFormat="1" ht="16.5" customHeight="1" x14ac:dyDescent="0.3">
      <c r="A4" s="24"/>
      <c r="B4" s="25" t="s">
        <v>3</v>
      </c>
      <c r="D4" s="2">
        <v>168163</v>
      </c>
      <c r="E4" s="216">
        <f>E5</f>
        <v>146172</v>
      </c>
      <c r="F4" s="4">
        <f t="shared" ref="F4:F17" si="0">E4-D4</f>
        <v>-21991</v>
      </c>
      <c r="G4" s="217">
        <f t="shared" ref="G4:G50" si="1">IFERROR(E4/D4,0)</f>
        <v>0.86922807038409167</v>
      </c>
      <c r="I4" s="2">
        <v>1220</v>
      </c>
      <c r="J4" s="218"/>
      <c r="K4" s="2">
        <v>159718</v>
      </c>
      <c r="L4" s="219">
        <f>L5</f>
        <v>2515</v>
      </c>
      <c r="M4" s="2">
        <f>L4-K4</f>
        <v>-157203</v>
      </c>
      <c r="N4" s="27">
        <f t="shared" ref="N4:N67" si="2">IFERROR(L4/K4,0)</f>
        <v>1.5746503211910994E-2</v>
      </c>
      <c r="P4" s="2">
        <v>150720</v>
      </c>
      <c r="R4" s="2">
        <v>196842</v>
      </c>
      <c r="S4" s="219">
        <f>S5</f>
        <v>366063</v>
      </c>
      <c r="T4" s="2">
        <f t="shared" ref="T4:T17" si="3">S4-R4</f>
        <v>169221</v>
      </c>
      <c r="U4" s="27">
        <f t="shared" ref="U4:U50" si="4">IFERROR(S4/R4,0)</f>
        <v>1.859679336726918</v>
      </c>
      <c r="W4" s="2">
        <v>345969</v>
      </c>
      <c r="Y4" s="2">
        <v>245258</v>
      </c>
      <c r="Z4" s="219">
        <f>Z5</f>
        <v>157675</v>
      </c>
      <c r="AA4" s="2">
        <f t="shared" ref="AA4:AA17" si="5">Z4-Y4</f>
        <v>-87583</v>
      </c>
      <c r="AB4" s="27">
        <f t="shared" ref="AB4:AB18" si="6">IFERROR(Z4/Y4,0)</f>
        <v>0.64289442138482744</v>
      </c>
      <c r="AD4" s="2">
        <v>184329.68</v>
      </c>
      <c r="AF4" s="2">
        <v>210838</v>
      </c>
      <c r="AG4" s="2">
        <f>SUM(AG5)</f>
        <v>160189</v>
      </c>
      <c r="AH4" s="2">
        <f t="shared" ref="AH4:AH17" si="7">AG4-AF4</f>
        <v>-50649</v>
      </c>
      <c r="AI4" s="27">
        <f t="shared" ref="AI4:AI50" si="8">IFERROR(AG4/AF4,0)</f>
        <v>0.75977290621235261</v>
      </c>
      <c r="AK4" s="2">
        <v>150630</v>
      </c>
      <c r="AM4" s="2">
        <v>53207</v>
      </c>
      <c r="AN4" s="219">
        <f>SUM(AN5)</f>
        <v>165640</v>
      </c>
      <c r="AO4" s="2">
        <f t="shared" ref="AO4:AO24" si="9">AN4-AM4</f>
        <v>112433</v>
      </c>
      <c r="AP4" s="27">
        <f t="shared" ref="AP4:AP50" si="10">IFERROR(AN4/AM4,0)</f>
        <v>3.1131242129794954</v>
      </c>
      <c r="AR4" s="2">
        <v>148750</v>
      </c>
      <c r="AT4" s="2">
        <v>157631</v>
      </c>
      <c r="AU4" s="2">
        <f>SUM(AU5)</f>
        <v>162482</v>
      </c>
      <c r="AV4" s="2">
        <f t="shared" ref="AV4:AV17" si="11">AU4-AT4</f>
        <v>4851</v>
      </c>
      <c r="AW4" s="27">
        <f t="shared" ref="AW4:AW50" si="12">IFERROR(AU4/AT4,0)</f>
        <v>1.0307744035119994</v>
      </c>
      <c r="AY4" s="2">
        <v>148750</v>
      </c>
      <c r="BA4" s="2">
        <v>157631</v>
      </c>
      <c r="BB4" s="219">
        <f>SUM(BB5)</f>
        <v>164555</v>
      </c>
      <c r="BC4" s="219">
        <f t="shared" ref="BC4:BC17" si="13">BB4-BA4</f>
        <v>6924</v>
      </c>
      <c r="BD4" s="27">
        <f t="shared" ref="BD4:BD50" si="14">IFERROR(BB4/BA4,0)</f>
        <v>1.0439253700097062</v>
      </c>
      <c r="BF4" s="2">
        <v>148750</v>
      </c>
      <c r="BH4" s="2">
        <v>39408</v>
      </c>
      <c r="BI4" s="219">
        <f>BI5</f>
        <v>162482</v>
      </c>
      <c r="BJ4" s="219">
        <f t="shared" ref="BJ4:BJ17" si="15">BI4-BH4</f>
        <v>123074</v>
      </c>
      <c r="BK4" s="27">
        <f t="shared" ref="BK4:BK50" si="16">IFERROR(BI4/BH4,0)</f>
        <v>4.1230714575720668</v>
      </c>
      <c r="BM4" s="2">
        <v>148750</v>
      </c>
      <c r="BO4" s="2">
        <v>198230</v>
      </c>
      <c r="BP4" s="2">
        <f>BP5</f>
        <v>180184</v>
      </c>
      <c r="BQ4" s="2">
        <f t="shared" ref="BQ4:BQ17" si="17">BP4-BO4</f>
        <v>-18046</v>
      </c>
      <c r="BR4" s="27">
        <f t="shared" ref="BR4:BR50" si="18">IFERROR(BP4/BO4,0)</f>
        <v>0.90896433435907786</v>
      </c>
      <c r="BT4" s="2">
        <v>152785.60000000001</v>
      </c>
      <c r="BV4" s="28">
        <v>197039</v>
      </c>
      <c r="BW4" s="2">
        <f>BW5</f>
        <v>170800</v>
      </c>
      <c r="BX4" s="2">
        <f t="shared" ref="BX4:BX17" si="19">BW4-BV4</f>
        <v>-26239</v>
      </c>
      <c r="BY4" s="27">
        <f t="shared" ref="BY4:BY50" si="20">IFERROR(BW4/BV4,0)</f>
        <v>0.86683346951618712</v>
      </c>
      <c r="CA4" s="4">
        <v>148750</v>
      </c>
      <c r="CC4" s="2">
        <v>197039</v>
      </c>
      <c r="CD4" s="2">
        <v>165680</v>
      </c>
      <c r="CE4" s="2">
        <f t="shared" ref="CE4:CE17" si="21">CD4-CC4</f>
        <v>-31359</v>
      </c>
      <c r="CF4" s="27">
        <f t="shared" ref="CF4:CF50" si="22">IFERROR(CD4/CC4,0)</f>
        <v>0.84084876598033886</v>
      </c>
      <c r="CH4" s="4">
        <v>148750</v>
      </c>
      <c r="CJ4" s="220">
        <f>D4+K4+R4+Y4+AF4+AM4+AT4+BA4+BH4+BO4+BV4</f>
        <v>1783965</v>
      </c>
      <c r="CK4" s="2">
        <f>E4+L4+S4+Z4+AG4+AN4+AU4+BB4+BI4+BP4+BW4</f>
        <v>1838757</v>
      </c>
      <c r="CL4" s="2">
        <f t="shared" ref="CL4:CL66" si="23">CK4-CJ4</f>
        <v>54792</v>
      </c>
      <c r="CM4" s="27">
        <f>IFERROR(CK4/CJ4,0)</f>
        <v>1.0307136070494656</v>
      </c>
      <c r="CO4" s="4">
        <f>I4+P4+W4+AD4+AK4+AR4+AY4+BF4+BM4+BT4+CA4</f>
        <v>1729404.28</v>
      </c>
      <c r="CQ4" s="220">
        <f t="shared" ref="CQ4:CR49" si="24">+D4+K4+R4+Y4+AF4+AM4+AT4+BA4+BH4+BO4+BV4+CC4</f>
        <v>1981004</v>
      </c>
      <c r="CR4" s="2">
        <f t="shared" si="24"/>
        <v>2004437</v>
      </c>
      <c r="CS4" s="2">
        <f t="shared" ref="CS4:CS17" si="25">CR4-CQ4</f>
        <v>23433</v>
      </c>
      <c r="CT4" s="27">
        <f t="shared" ref="CT4:CT50" si="26">IFERROR(CR4/CQ4,0)</f>
        <v>1.0118288504213016</v>
      </c>
      <c r="CV4" s="4">
        <v>1878154.28</v>
      </c>
    </row>
    <row r="5" spans="1:102" s="31" customFormat="1" ht="16.5" customHeight="1" x14ac:dyDescent="0.3">
      <c r="A5" s="29">
        <v>12</v>
      </c>
      <c r="B5" s="30" t="s">
        <v>4</v>
      </c>
      <c r="D5" s="3">
        <v>168163</v>
      </c>
      <c r="E5" s="3">
        <v>146172</v>
      </c>
      <c r="F5" s="3">
        <f t="shared" si="0"/>
        <v>-21991</v>
      </c>
      <c r="G5" s="32">
        <f t="shared" si="1"/>
        <v>0.86922807038409167</v>
      </c>
      <c r="I5" s="3">
        <v>1220</v>
      </c>
      <c r="J5" s="221"/>
      <c r="K5" s="33">
        <v>159718</v>
      </c>
      <c r="L5" s="222">
        <v>2515</v>
      </c>
      <c r="M5" s="3">
        <f>L5-K5</f>
        <v>-157203</v>
      </c>
      <c r="N5" s="32">
        <f t="shared" si="2"/>
        <v>1.5746503211910994E-2</v>
      </c>
      <c r="P5" s="3">
        <v>150720</v>
      </c>
      <c r="R5" s="3">
        <v>196842</v>
      </c>
      <c r="S5" s="223">
        <v>366063</v>
      </c>
      <c r="T5" s="3">
        <f t="shared" si="3"/>
        <v>169221</v>
      </c>
      <c r="U5" s="32">
        <f t="shared" si="4"/>
        <v>1.859679336726918</v>
      </c>
      <c r="W5" s="3">
        <v>345969</v>
      </c>
      <c r="Y5" s="3">
        <v>245258</v>
      </c>
      <c r="Z5" s="223">
        <v>157675</v>
      </c>
      <c r="AA5" s="3">
        <f t="shared" si="5"/>
        <v>-87583</v>
      </c>
      <c r="AB5" s="32">
        <f t="shared" si="6"/>
        <v>0.64289442138482744</v>
      </c>
      <c r="AD5" s="3">
        <v>184329.68</v>
      </c>
      <c r="AF5" s="3">
        <v>210838</v>
      </c>
      <c r="AG5" s="3">
        <v>160189</v>
      </c>
      <c r="AH5" s="3">
        <f t="shared" si="7"/>
        <v>-50649</v>
      </c>
      <c r="AI5" s="32">
        <f t="shared" si="8"/>
        <v>0.75977290621235261</v>
      </c>
      <c r="AK5" s="3">
        <v>150630</v>
      </c>
      <c r="AM5" s="3">
        <v>53207</v>
      </c>
      <c r="AN5" s="222">
        <v>165640</v>
      </c>
      <c r="AO5" s="3">
        <f t="shared" si="9"/>
        <v>112433</v>
      </c>
      <c r="AP5" s="32">
        <f t="shared" si="10"/>
        <v>3.1131242129794954</v>
      </c>
      <c r="AR5" s="3">
        <v>148750</v>
      </c>
      <c r="AT5" s="3">
        <v>157631</v>
      </c>
      <c r="AU5" s="3">
        <v>162482</v>
      </c>
      <c r="AV5" s="3">
        <f t="shared" si="11"/>
        <v>4851</v>
      </c>
      <c r="AW5" s="32">
        <f t="shared" si="12"/>
        <v>1.0307744035119994</v>
      </c>
      <c r="AY5" s="3">
        <v>148750</v>
      </c>
      <c r="BA5" s="3">
        <v>157631</v>
      </c>
      <c r="BB5" s="222">
        <v>164555</v>
      </c>
      <c r="BC5" s="222">
        <f t="shared" si="13"/>
        <v>6924</v>
      </c>
      <c r="BD5" s="32">
        <f t="shared" si="14"/>
        <v>1.0439253700097062</v>
      </c>
      <c r="BF5" s="3">
        <v>148750</v>
      </c>
      <c r="BH5" s="3">
        <v>39408</v>
      </c>
      <c r="BI5" s="222">
        <v>162482</v>
      </c>
      <c r="BJ5" s="222">
        <f t="shared" si="15"/>
        <v>123074</v>
      </c>
      <c r="BK5" s="32">
        <f t="shared" si="16"/>
        <v>4.1230714575720668</v>
      </c>
      <c r="BM5" s="224">
        <v>148750</v>
      </c>
      <c r="BO5" s="3">
        <v>198230</v>
      </c>
      <c r="BP5" s="3">
        <v>180184</v>
      </c>
      <c r="BQ5" s="3">
        <f t="shared" si="17"/>
        <v>-18046</v>
      </c>
      <c r="BR5" s="32">
        <f t="shared" si="18"/>
        <v>0.90896433435907786</v>
      </c>
      <c r="BT5" s="3">
        <v>152785.60000000001</v>
      </c>
      <c r="BV5" s="3">
        <v>197039</v>
      </c>
      <c r="BW5" s="3">
        <v>170800</v>
      </c>
      <c r="BX5" s="3">
        <f t="shared" si="19"/>
        <v>-26239</v>
      </c>
      <c r="BY5" s="32">
        <f t="shared" si="20"/>
        <v>0.86683346951618712</v>
      </c>
      <c r="CA5" s="3">
        <v>148750</v>
      </c>
      <c r="CC5" s="3">
        <v>197039</v>
      </c>
      <c r="CD5" s="3">
        <v>165680</v>
      </c>
      <c r="CE5" s="3">
        <f t="shared" si="21"/>
        <v>-31359</v>
      </c>
      <c r="CF5" s="32">
        <f t="shared" si="22"/>
        <v>0.84084876598033886</v>
      </c>
      <c r="CH5" s="3">
        <v>148750</v>
      </c>
      <c r="CJ5" s="225">
        <f t="shared" ref="CJ5:CK68" si="27">D5+K5+R5+Y5+AF5+AM5+AT5+BA5+BH5+BO5+BV5</f>
        <v>1783965</v>
      </c>
      <c r="CK5" s="3">
        <f t="shared" si="27"/>
        <v>1838757</v>
      </c>
      <c r="CL5" s="3">
        <f t="shared" si="23"/>
        <v>54792</v>
      </c>
      <c r="CM5" s="32">
        <f t="shared" ref="CM5:CM50" si="28">IFERROR(CK5/CJ5,0)</f>
        <v>1.0307136070494656</v>
      </c>
      <c r="CO5" s="3">
        <f t="shared" ref="CO5:CO68" si="29">I5+P5+W5+AD5+AK5+AR5+AY5+BF5+BM5+BT5+CA5</f>
        <v>1729404.28</v>
      </c>
      <c r="CQ5" s="225">
        <f t="shared" si="24"/>
        <v>1981004</v>
      </c>
      <c r="CR5" s="3">
        <f t="shared" si="24"/>
        <v>2004437</v>
      </c>
      <c r="CS5" s="3">
        <f t="shared" si="25"/>
        <v>23433</v>
      </c>
      <c r="CT5" s="32">
        <f t="shared" si="26"/>
        <v>1.0118288504213016</v>
      </c>
      <c r="CV5" s="3">
        <v>1878154.28</v>
      </c>
    </row>
    <row r="6" spans="1:102" s="26" customFormat="1" ht="16.5" customHeight="1" x14ac:dyDescent="0.3">
      <c r="A6" s="35"/>
      <c r="B6" s="36" t="s">
        <v>5</v>
      </c>
      <c r="D6" s="4">
        <v>146150312</v>
      </c>
      <c r="E6" s="4">
        <f>E7+E8+E9</f>
        <v>161427561.38</v>
      </c>
      <c r="F6" s="4">
        <f t="shared" si="0"/>
        <v>15277249.379999995</v>
      </c>
      <c r="G6" s="37">
        <f t="shared" si="1"/>
        <v>1.1045310760609255</v>
      </c>
      <c r="I6" s="5">
        <v>141023335.49000001</v>
      </c>
      <c r="J6" s="218"/>
      <c r="K6" s="226">
        <f>SUM(K7:K9)</f>
        <v>29085253</v>
      </c>
      <c r="L6" s="226">
        <f>SUM(L7:L9)</f>
        <v>27647272.309999999</v>
      </c>
      <c r="M6" s="5">
        <f t="shared" ref="M6:M17" si="30">L6-K6</f>
        <v>-1437980.6900000013</v>
      </c>
      <c r="N6" s="37">
        <f t="shared" si="2"/>
        <v>0.95055980121610073</v>
      </c>
      <c r="P6" s="5">
        <v>32631878.439999998</v>
      </c>
      <c r="R6" s="4">
        <v>30319257</v>
      </c>
      <c r="S6" s="303">
        <f>S7+S8+S9</f>
        <v>26010515.48</v>
      </c>
      <c r="T6" s="5">
        <f t="shared" si="3"/>
        <v>-4308741.5199999996</v>
      </c>
      <c r="U6" s="37">
        <f t="shared" si="4"/>
        <v>0.85788762831490228</v>
      </c>
      <c r="W6" s="5">
        <v>33183226.73</v>
      </c>
      <c r="Y6" s="4">
        <v>34813338</v>
      </c>
      <c r="Z6" s="226">
        <f>Z7+Z8+Z9</f>
        <v>31833669.600000001</v>
      </c>
      <c r="AA6" s="5">
        <f t="shared" si="5"/>
        <v>-2979668.3999999985</v>
      </c>
      <c r="AB6" s="37">
        <f t="shared" si="6"/>
        <v>0.91441014935137799</v>
      </c>
      <c r="AD6" s="5">
        <v>26740092.020000003</v>
      </c>
      <c r="AF6" s="4">
        <v>36470650</v>
      </c>
      <c r="AG6" s="4">
        <f>SUM(AG7:AG9)</f>
        <v>36418333.029999994</v>
      </c>
      <c r="AH6" s="5">
        <f t="shared" si="7"/>
        <v>-52316.970000006258</v>
      </c>
      <c r="AI6" s="37">
        <f t="shared" si="8"/>
        <v>0.99856550486487061</v>
      </c>
      <c r="AK6" s="5">
        <v>41613355.280000001</v>
      </c>
      <c r="AM6" s="4">
        <f>AM7+AM8+AM9</f>
        <v>13855340</v>
      </c>
      <c r="AN6" s="226">
        <f>SUM(AN7:AN9)</f>
        <v>29018685.48</v>
      </c>
      <c r="AO6" s="5">
        <f t="shared" si="9"/>
        <v>15163345.48</v>
      </c>
      <c r="AP6" s="37">
        <f t="shared" si="10"/>
        <v>2.0944044303495981</v>
      </c>
      <c r="AR6" s="5">
        <v>28374195.16</v>
      </c>
      <c r="AT6" s="4">
        <v>24367205</v>
      </c>
      <c r="AU6" s="4">
        <f>SUM(AU7:AU9)</f>
        <v>33598234.230000004</v>
      </c>
      <c r="AV6" s="5">
        <f t="shared" si="11"/>
        <v>9231029.2300000042</v>
      </c>
      <c r="AW6" s="37">
        <f t="shared" si="12"/>
        <v>1.3788300393910589</v>
      </c>
      <c r="AY6" s="5">
        <v>27842136.059999999</v>
      </c>
      <c r="BA6" s="5">
        <v>28528139</v>
      </c>
      <c r="BB6" s="226">
        <f>SUM(BB7:BB9)</f>
        <v>39933582.060000002</v>
      </c>
      <c r="BC6" s="227">
        <f t="shared" si="13"/>
        <v>11405443.060000002</v>
      </c>
      <c r="BD6" s="37">
        <f t="shared" si="14"/>
        <v>1.3997962523948724</v>
      </c>
      <c r="BF6" s="5">
        <v>32225867.859999999</v>
      </c>
      <c r="BH6" s="4">
        <f>BH7+BH8+BH9</f>
        <v>9059883</v>
      </c>
      <c r="BI6" s="226">
        <f>BI7+BI8+BI9</f>
        <v>25299089.890000001</v>
      </c>
      <c r="BJ6" s="227">
        <f t="shared" si="15"/>
        <v>16239206.890000001</v>
      </c>
      <c r="BK6" s="37">
        <f t="shared" si="16"/>
        <v>2.7924300887770848</v>
      </c>
      <c r="BM6" s="5">
        <v>31185641.380000003</v>
      </c>
      <c r="BO6" s="4">
        <v>45714894</v>
      </c>
      <c r="BP6" s="4">
        <f>BP7+BP8+BP9</f>
        <v>52538416</v>
      </c>
      <c r="BQ6" s="5">
        <f t="shared" si="17"/>
        <v>6823522</v>
      </c>
      <c r="BR6" s="37">
        <f t="shared" si="18"/>
        <v>1.1492625576250926</v>
      </c>
      <c r="BT6" s="5">
        <v>45293466.25</v>
      </c>
      <c r="BV6" s="5">
        <v>32786779</v>
      </c>
      <c r="BW6" s="4">
        <f>SUM(BW7:BW9)</f>
        <v>43498949.120000005</v>
      </c>
      <c r="BX6" s="5">
        <f t="shared" si="19"/>
        <v>10712170.120000005</v>
      </c>
      <c r="BY6" s="37">
        <f t="shared" si="20"/>
        <v>1.3267222474034428</v>
      </c>
      <c r="CA6" s="4">
        <v>30768872.220000003</v>
      </c>
      <c r="CC6" s="4">
        <v>31417615</v>
      </c>
      <c r="CD6" s="4">
        <v>39267314.5</v>
      </c>
      <c r="CE6" s="5">
        <f t="shared" si="21"/>
        <v>7849699.5</v>
      </c>
      <c r="CF6" s="37">
        <f t="shared" si="22"/>
        <v>1.2498502671192577</v>
      </c>
      <c r="CH6" s="4">
        <v>38917559.630000003</v>
      </c>
      <c r="CJ6" s="228">
        <f t="shared" si="27"/>
        <v>431151050</v>
      </c>
      <c r="CK6" s="5">
        <f t="shared" si="27"/>
        <v>507224308.57999998</v>
      </c>
      <c r="CL6" s="5">
        <f t="shared" si="23"/>
        <v>76073258.579999983</v>
      </c>
      <c r="CM6" s="37">
        <f t="shared" si="28"/>
        <v>1.1764422435710176</v>
      </c>
      <c r="CO6" s="4">
        <f t="shared" si="29"/>
        <v>470882066.8900001</v>
      </c>
      <c r="CQ6" s="228">
        <f t="shared" si="24"/>
        <v>462568665</v>
      </c>
      <c r="CR6" s="5">
        <f t="shared" si="24"/>
        <v>546491623.07999992</v>
      </c>
      <c r="CS6" s="5">
        <f t="shared" si="25"/>
        <v>83922958.079999924</v>
      </c>
      <c r="CT6" s="37">
        <f t="shared" si="26"/>
        <v>1.1814281087976417</v>
      </c>
      <c r="CV6" s="4">
        <v>509799626.5200001</v>
      </c>
    </row>
    <row r="7" spans="1:102" s="31" customFormat="1" ht="16.5" customHeight="1" x14ac:dyDescent="0.3">
      <c r="A7" s="29">
        <v>13</v>
      </c>
      <c r="B7" s="30" t="s">
        <v>6</v>
      </c>
      <c r="D7" s="3">
        <v>129246140</v>
      </c>
      <c r="E7" s="3">
        <v>140390301.28999999</v>
      </c>
      <c r="F7" s="3">
        <f t="shared" si="0"/>
        <v>11144161.289999992</v>
      </c>
      <c r="G7" s="32">
        <f t="shared" si="1"/>
        <v>1.0862243258483386</v>
      </c>
      <c r="I7" s="3">
        <v>121826118.68000001</v>
      </c>
      <c r="J7" s="221"/>
      <c r="K7" s="33">
        <v>10517740</v>
      </c>
      <c r="L7" s="222">
        <v>9368404.3200000003</v>
      </c>
      <c r="M7" s="3">
        <f t="shared" si="30"/>
        <v>-1149335.6799999997</v>
      </c>
      <c r="N7" s="32">
        <f t="shared" si="2"/>
        <v>0.89072408331067321</v>
      </c>
      <c r="P7" s="3">
        <v>11505847.220000001</v>
      </c>
      <c r="R7" s="3">
        <v>7024769</v>
      </c>
      <c r="S7" s="223">
        <v>6706178.0499999998</v>
      </c>
      <c r="T7" s="3">
        <f t="shared" si="3"/>
        <v>-318590.95000000019</v>
      </c>
      <c r="U7" s="32">
        <f t="shared" si="4"/>
        <v>0.95464748378202902</v>
      </c>
      <c r="W7" s="3">
        <v>6725934.7499999991</v>
      </c>
      <c r="Y7" s="3">
        <v>3029768</v>
      </c>
      <c r="Z7" s="223">
        <v>3442138.85</v>
      </c>
      <c r="AA7" s="3">
        <f t="shared" si="5"/>
        <v>412370.85000000009</v>
      </c>
      <c r="AB7" s="32">
        <f t="shared" si="6"/>
        <v>1.1361064114480053</v>
      </c>
      <c r="AD7" s="3">
        <v>3136508.33</v>
      </c>
      <c r="AF7" s="3">
        <v>3854177</v>
      </c>
      <c r="AG7" s="3">
        <v>6990059.2800000003</v>
      </c>
      <c r="AH7" s="3">
        <f t="shared" si="7"/>
        <v>3135882.2800000003</v>
      </c>
      <c r="AI7" s="32">
        <f t="shared" si="8"/>
        <v>1.8136321398835602</v>
      </c>
      <c r="AK7" s="3">
        <v>5037053.46</v>
      </c>
      <c r="AM7" s="3">
        <v>2754120</v>
      </c>
      <c r="AN7" s="222">
        <v>5262530</v>
      </c>
      <c r="AO7" s="3">
        <f t="shared" si="9"/>
        <v>2508410</v>
      </c>
      <c r="AP7" s="32">
        <f t="shared" si="10"/>
        <v>1.9107845700259973</v>
      </c>
      <c r="AR7" s="3">
        <v>3447099.3</v>
      </c>
      <c r="AT7" s="3">
        <v>3906741</v>
      </c>
      <c r="AU7" s="3">
        <v>4920095.05</v>
      </c>
      <c r="AV7" s="3"/>
      <c r="AW7" s="32">
        <f t="shared" si="12"/>
        <v>1.2593860330131943</v>
      </c>
      <c r="AY7" s="3">
        <v>5176441.79</v>
      </c>
      <c r="BA7" s="3">
        <v>3526030</v>
      </c>
      <c r="BB7" s="222">
        <v>4603951.79</v>
      </c>
      <c r="BC7" s="222">
        <f t="shared" si="13"/>
        <v>1077921.79</v>
      </c>
      <c r="BD7" s="32">
        <f t="shared" si="14"/>
        <v>1.3057040893015659</v>
      </c>
      <c r="BF7" s="3">
        <v>3375839.66</v>
      </c>
      <c r="BH7" s="3">
        <v>3212526</v>
      </c>
      <c r="BI7" s="222">
        <v>3662251.25</v>
      </c>
      <c r="BJ7" s="222">
        <f t="shared" si="15"/>
        <v>449725.25</v>
      </c>
      <c r="BK7" s="32">
        <f t="shared" si="16"/>
        <v>1.1399911627174379</v>
      </c>
      <c r="BM7" s="3">
        <v>4643515.12</v>
      </c>
      <c r="BN7" s="229"/>
      <c r="BO7" s="3">
        <v>4904085</v>
      </c>
      <c r="BP7" s="3">
        <v>4742126.38</v>
      </c>
      <c r="BQ7" s="3">
        <f t="shared" si="17"/>
        <v>-161958.62000000011</v>
      </c>
      <c r="BR7" s="32">
        <f t="shared" si="18"/>
        <v>0.96697475268067334</v>
      </c>
      <c r="BT7" s="3">
        <v>3534319.14</v>
      </c>
      <c r="BV7" s="3">
        <v>6257121</v>
      </c>
      <c r="BW7" s="3">
        <v>8198932.6500000004</v>
      </c>
      <c r="BX7" s="3">
        <f t="shared" si="19"/>
        <v>1941811.6500000004</v>
      </c>
      <c r="BY7" s="32">
        <f t="shared" si="20"/>
        <v>1.310336279256866</v>
      </c>
      <c r="CA7" s="3">
        <v>5595646.0700000003</v>
      </c>
      <c r="CC7" s="3">
        <v>6861175</v>
      </c>
      <c r="CD7" s="3">
        <v>5055801.8099999996</v>
      </c>
      <c r="CE7" s="3">
        <f t="shared" si="21"/>
        <v>-1805373.1900000004</v>
      </c>
      <c r="CF7" s="32">
        <f t="shared" si="22"/>
        <v>0.73687113504611079</v>
      </c>
      <c r="CH7" s="3">
        <v>5646169.1900000004</v>
      </c>
      <c r="CJ7" s="225">
        <f t="shared" si="27"/>
        <v>178233217</v>
      </c>
      <c r="CK7" s="3">
        <f t="shared" si="27"/>
        <v>198286968.91</v>
      </c>
      <c r="CL7" s="3">
        <f t="shared" si="23"/>
        <v>20053751.909999996</v>
      </c>
      <c r="CM7" s="32">
        <f t="shared" si="28"/>
        <v>1.1125141107114731</v>
      </c>
      <c r="CO7" s="3">
        <f t="shared" si="29"/>
        <v>174004323.52000001</v>
      </c>
      <c r="CQ7" s="225">
        <f t="shared" si="24"/>
        <v>185094392</v>
      </c>
      <c r="CR7" s="3">
        <f t="shared" si="24"/>
        <v>203342770.72</v>
      </c>
      <c r="CS7" s="3">
        <f t="shared" si="25"/>
        <v>18248378.719999999</v>
      </c>
      <c r="CT7" s="32">
        <f t="shared" si="26"/>
        <v>1.0985895819037024</v>
      </c>
      <c r="CV7" s="3">
        <v>179650492.71000001</v>
      </c>
      <c r="CX7" s="229">
        <f>CR7+CR15</f>
        <v>239804119.55000001</v>
      </c>
    </row>
    <row r="8" spans="1:102" s="31" customFormat="1" ht="16.5" customHeight="1" x14ac:dyDescent="0.3">
      <c r="A8" s="29">
        <v>14</v>
      </c>
      <c r="B8" s="30" t="s">
        <v>7</v>
      </c>
      <c r="D8" s="3">
        <v>16527714</v>
      </c>
      <c r="E8" s="3">
        <v>20994584.870000001</v>
      </c>
      <c r="F8" s="3">
        <f t="shared" si="0"/>
        <v>4466870.870000001</v>
      </c>
      <c r="G8" s="32">
        <f t="shared" si="1"/>
        <v>1.2702654989068665</v>
      </c>
      <c r="I8" s="3">
        <v>18591187.52</v>
      </c>
      <c r="J8" s="230"/>
      <c r="K8" s="33">
        <v>18071858</v>
      </c>
      <c r="L8" s="222">
        <v>15419205.220000001</v>
      </c>
      <c r="M8" s="3">
        <f t="shared" si="30"/>
        <v>-2652652.7799999993</v>
      </c>
      <c r="N8" s="32">
        <f t="shared" si="2"/>
        <v>0.85321637764086022</v>
      </c>
      <c r="P8" s="3">
        <v>20328117.399999999</v>
      </c>
      <c r="R8" s="3">
        <v>22759476</v>
      </c>
      <c r="S8" s="223">
        <v>18598659.32</v>
      </c>
      <c r="T8" s="3">
        <f t="shared" si="3"/>
        <v>-4160816.6799999997</v>
      </c>
      <c r="U8" s="32">
        <f t="shared" si="4"/>
        <v>0.81718310737909783</v>
      </c>
      <c r="W8" s="3">
        <v>25600980.379999999</v>
      </c>
      <c r="Y8" s="3">
        <v>31241042</v>
      </c>
      <c r="Z8" s="223">
        <v>24844761.120000001</v>
      </c>
      <c r="AA8" s="3">
        <f t="shared" si="5"/>
        <v>-6396280.879999999</v>
      </c>
      <c r="AB8" s="32">
        <f t="shared" si="6"/>
        <v>0.79526032198285834</v>
      </c>
      <c r="AD8" s="3">
        <v>23022454.800000001</v>
      </c>
      <c r="AF8" s="3">
        <v>32154869</v>
      </c>
      <c r="AG8" s="3">
        <v>29064899.879999999</v>
      </c>
      <c r="AH8" s="3">
        <f t="shared" si="7"/>
        <v>-3089969.120000001</v>
      </c>
      <c r="AI8" s="32">
        <f t="shared" si="8"/>
        <v>0.90390353883886132</v>
      </c>
      <c r="AK8" s="3">
        <v>36358305.579999998</v>
      </c>
      <c r="AM8" s="3">
        <v>10775032</v>
      </c>
      <c r="AN8" s="222">
        <v>23140740.280000001</v>
      </c>
      <c r="AO8" s="3">
        <f t="shared" si="9"/>
        <v>12365708.280000001</v>
      </c>
      <c r="AP8" s="32">
        <f t="shared" si="10"/>
        <v>2.1476261304838817</v>
      </c>
      <c r="AR8" s="3">
        <v>24050372.050000001</v>
      </c>
      <c r="AT8" s="3">
        <v>19916454</v>
      </c>
      <c r="AU8" s="3">
        <v>28147752.690000001</v>
      </c>
      <c r="AV8" s="3"/>
      <c r="AW8" s="32">
        <f t="shared" si="12"/>
        <v>1.4132913765673347</v>
      </c>
      <c r="AY8" s="3">
        <v>22403009.059999999</v>
      </c>
      <c r="BA8" s="3">
        <v>23493992</v>
      </c>
      <c r="BB8" s="222">
        <v>34675519.700000003</v>
      </c>
      <c r="BC8" s="222">
        <f t="shared" si="13"/>
        <v>11181527.700000003</v>
      </c>
      <c r="BD8" s="32">
        <f t="shared" si="14"/>
        <v>1.4759313657721516</v>
      </c>
      <c r="BF8" s="3">
        <v>26427200.620000001</v>
      </c>
      <c r="BH8" s="3">
        <v>5727480</v>
      </c>
      <c r="BI8" s="222">
        <v>20567064.25</v>
      </c>
      <c r="BJ8" s="222">
        <f t="shared" si="15"/>
        <v>14839584.25</v>
      </c>
      <c r="BK8" s="32">
        <f t="shared" si="16"/>
        <v>3.5909447523169002</v>
      </c>
      <c r="BM8" s="224">
        <v>25770207.940000001</v>
      </c>
      <c r="BN8" s="229"/>
      <c r="BO8" s="3">
        <v>40306908</v>
      </c>
      <c r="BP8" s="3">
        <v>45251075.299999997</v>
      </c>
      <c r="BQ8" s="3">
        <f t="shared" si="17"/>
        <v>4944167.299999997</v>
      </c>
      <c r="BR8" s="32">
        <f t="shared" si="18"/>
        <v>1.1226630259011681</v>
      </c>
      <c r="BT8" s="3">
        <v>38896645.780000001</v>
      </c>
      <c r="BV8" s="3">
        <v>26025757</v>
      </c>
      <c r="BW8" s="3">
        <v>34949209.090000004</v>
      </c>
      <c r="BX8" s="3">
        <f t="shared" si="19"/>
        <v>8923452.0900000036</v>
      </c>
      <c r="BY8" s="32">
        <f t="shared" si="20"/>
        <v>1.3428700302550278</v>
      </c>
      <c r="CA8" s="3">
        <v>22832503.100000001</v>
      </c>
      <c r="CC8" s="3">
        <v>24052526</v>
      </c>
      <c r="CD8" s="3">
        <v>32082388.719999999</v>
      </c>
      <c r="CE8" s="3">
        <f t="shared" si="21"/>
        <v>8029862.7199999988</v>
      </c>
      <c r="CF8" s="32">
        <f t="shared" si="22"/>
        <v>1.3338469614376469</v>
      </c>
      <c r="CH8" s="3">
        <v>27652508.579999998</v>
      </c>
      <c r="CJ8" s="225">
        <f t="shared" si="27"/>
        <v>247000582</v>
      </c>
      <c r="CK8" s="3">
        <f t="shared" si="27"/>
        <v>295653471.72000003</v>
      </c>
      <c r="CL8" s="3">
        <f t="shared" si="23"/>
        <v>48652889.720000029</v>
      </c>
      <c r="CM8" s="32">
        <f t="shared" si="28"/>
        <v>1.1969747978974399</v>
      </c>
      <c r="CO8" s="3">
        <f t="shared" si="29"/>
        <v>284280984.23000002</v>
      </c>
      <c r="CQ8" s="225">
        <f t="shared" si="24"/>
        <v>271053108</v>
      </c>
      <c r="CR8" s="3">
        <f t="shared" si="24"/>
        <v>327735860.44000006</v>
      </c>
      <c r="CS8" s="3">
        <f t="shared" si="25"/>
        <v>56682752.440000057</v>
      </c>
      <c r="CT8" s="32">
        <f t="shared" si="26"/>
        <v>1.20912046667991</v>
      </c>
      <c r="CV8" s="3">
        <v>311933492.81</v>
      </c>
      <c r="CX8" s="229">
        <f>CR8+CR16</f>
        <v>349969375.70000005</v>
      </c>
    </row>
    <row r="9" spans="1:102" s="31" customFormat="1" ht="16.5" customHeight="1" x14ac:dyDescent="0.3">
      <c r="A9" s="29">
        <v>15</v>
      </c>
      <c r="B9" s="30" t="s">
        <v>8</v>
      </c>
      <c r="D9" s="3">
        <v>376458</v>
      </c>
      <c r="E9" s="3">
        <v>42675.22</v>
      </c>
      <c r="F9" s="3">
        <f t="shared" si="0"/>
        <v>-333782.78000000003</v>
      </c>
      <c r="G9" s="32">
        <f t="shared" si="1"/>
        <v>0.11335984359477021</v>
      </c>
      <c r="I9" s="3">
        <v>606029.29</v>
      </c>
      <c r="J9" s="221"/>
      <c r="K9" s="33">
        <v>495655</v>
      </c>
      <c r="L9" s="222">
        <v>2859662.77</v>
      </c>
      <c r="M9" s="3">
        <f t="shared" si="30"/>
        <v>2364007.77</v>
      </c>
      <c r="N9" s="32">
        <f t="shared" si="2"/>
        <v>5.7694621662244909</v>
      </c>
      <c r="P9" s="3">
        <v>797913.82</v>
      </c>
      <c r="R9" s="3">
        <v>535012</v>
      </c>
      <c r="S9" s="223">
        <v>705678.11</v>
      </c>
      <c r="T9" s="3">
        <f t="shared" si="3"/>
        <v>170666.11</v>
      </c>
      <c r="U9" s="32">
        <f t="shared" si="4"/>
        <v>1.3189949197401178</v>
      </c>
      <c r="W9" s="3">
        <v>856311.6</v>
      </c>
      <c r="Y9" s="3">
        <v>542528</v>
      </c>
      <c r="Z9" s="223">
        <v>3546769.63</v>
      </c>
      <c r="AA9" s="3">
        <f t="shared" si="5"/>
        <v>3004241.63</v>
      </c>
      <c r="AB9" s="32">
        <f t="shared" si="6"/>
        <v>6.5374867840922493</v>
      </c>
      <c r="AD9" s="3">
        <v>581128.89</v>
      </c>
      <c r="AF9" s="3">
        <v>461604</v>
      </c>
      <c r="AG9" s="3">
        <v>363373.87</v>
      </c>
      <c r="AH9" s="3">
        <f t="shared" si="7"/>
        <v>-98230.13</v>
      </c>
      <c r="AI9" s="32">
        <f t="shared" si="8"/>
        <v>0.78719826951239591</v>
      </c>
      <c r="AK9" s="3">
        <v>217996.24</v>
      </c>
      <c r="AM9" s="3">
        <v>326188</v>
      </c>
      <c r="AN9" s="222">
        <v>615415.19999999995</v>
      </c>
      <c r="AO9" s="3">
        <f t="shared" si="9"/>
        <v>289227.19999999995</v>
      </c>
      <c r="AP9" s="32">
        <f t="shared" si="10"/>
        <v>1.8866886580744846</v>
      </c>
      <c r="AR9" s="3">
        <v>876723.81</v>
      </c>
      <c r="AT9" s="3">
        <v>544010</v>
      </c>
      <c r="AU9" s="3">
        <v>530386.49</v>
      </c>
      <c r="AV9" s="3">
        <f t="shared" si="11"/>
        <v>-13623.510000000009</v>
      </c>
      <c r="AW9" s="32">
        <f t="shared" si="12"/>
        <v>0.97495724343302514</v>
      </c>
      <c r="AY9" s="3">
        <v>262685.21000000002</v>
      </c>
      <c r="BA9" s="3">
        <v>1508117</v>
      </c>
      <c r="BB9" s="222">
        <v>654110.56999999995</v>
      </c>
      <c r="BC9" s="222">
        <f t="shared" si="13"/>
        <v>-854006.43</v>
      </c>
      <c r="BD9" s="32">
        <f t="shared" si="14"/>
        <v>0.43372667372624268</v>
      </c>
      <c r="BF9" s="3">
        <v>2422827.58</v>
      </c>
      <c r="BH9" s="3">
        <v>119877</v>
      </c>
      <c r="BI9" s="222">
        <v>1069774.3899999999</v>
      </c>
      <c r="BJ9" s="222">
        <f t="shared" si="15"/>
        <v>949897.3899999999</v>
      </c>
      <c r="BK9" s="32">
        <f t="shared" si="16"/>
        <v>8.9239336152890036</v>
      </c>
      <c r="BM9" s="224">
        <v>771918.32</v>
      </c>
      <c r="BO9" s="3">
        <v>503901</v>
      </c>
      <c r="BP9" s="3">
        <v>2545214.3199999998</v>
      </c>
      <c r="BQ9" s="3">
        <f t="shared" si="17"/>
        <v>2041313.3199999998</v>
      </c>
      <c r="BR9" s="32">
        <f t="shared" si="18"/>
        <v>5.0510205774546977</v>
      </c>
      <c r="BT9" s="3">
        <v>2862501.33</v>
      </c>
      <c r="BV9" s="3">
        <v>503901</v>
      </c>
      <c r="BW9" s="3">
        <v>350807.38</v>
      </c>
      <c r="BX9" s="3">
        <f t="shared" si="19"/>
        <v>-153093.62</v>
      </c>
      <c r="BY9" s="32">
        <f t="shared" si="20"/>
        <v>0.69618313914836449</v>
      </c>
      <c r="CA9" s="3">
        <v>2340723.0499999998</v>
      </c>
      <c r="CC9" s="3">
        <v>503914</v>
      </c>
      <c r="CD9" s="3">
        <v>2129123.9700000002</v>
      </c>
      <c r="CE9" s="3">
        <f t="shared" si="21"/>
        <v>1625209.9700000002</v>
      </c>
      <c r="CF9" s="32">
        <f t="shared" si="22"/>
        <v>4.2251732835364768</v>
      </c>
      <c r="CH9" s="3">
        <v>5618881.8600000003</v>
      </c>
      <c r="CJ9" s="225">
        <f t="shared" si="27"/>
        <v>5917251</v>
      </c>
      <c r="CK9" s="3">
        <f t="shared" si="27"/>
        <v>13283867.950000003</v>
      </c>
      <c r="CL9" s="3">
        <f t="shared" si="23"/>
        <v>7366616.950000003</v>
      </c>
      <c r="CM9" s="32">
        <f t="shared" si="28"/>
        <v>2.2449390688344981</v>
      </c>
      <c r="CO9" s="3">
        <f t="shared" si="29"/>
        <v>12596759.140000001</v>
      </c>
      <c r="CQ9" s="225">
        <f t="shared" si="24"/>
        <v>6421165</v>
      </c>
      <c r="CR9" s="3">
        <f t="shared" si="24"/>
        <v>15412991.920000004</v>
      </c>
      <c r="CS9" s="3">
        <f t="shared" si="25"/>
        <v>8991826.9200000037</v>
      </c>
      <c r="CT9" s="32">
        <f t="shared" si="26"/>
        <v>2.400341981556307</v>
      </c>
      <c r="CV9" s="3">
        <v>18215641</v>
      </c>
      <c r="CX9" s="229">
        <f>CR9+CR17</f>
        <v>16963806.730000004</v>
      </c>
    </row>
    <row r="10" spans="1:102" s="26" customFormat="1" ht="16.5" customHeight="1" x14ac:dyDescent="0.3">
      <c r="A10" s="35"/>
      <c r="B10" s="36" t="s">
        <v>9</v>
      </c>
      <c r="D10" s="5">
        <v>1753077</v>
      </c>
      <c r="E10" s="5">
        <f>E11</f>
        <v>2044566.57</v>
      </c>
      <c r="F10" s="4">
        <f t="shared" si="0"/>
        <v>291489.57000000007</v>
      </c>
      <c r="G10" s="37">
        <f t="shared" si="1"/>
        <v>1.1662731129322899</v>
      </c>
      <c r="I10" s="5">
        <v>1799670.54</v>
      </c>
      <c r="J10" s="218"/>
      <c r="K10" s="5">
        <v>1435654</v>
      </c>
      <c r="L10" s="227">
        <f>L11</f>
        <v>1404252.69</v>
      </c>
      <c r="M10" s="5">
        <f t="shared" si="30"/>
        <v>-31401.310000000056</v>
      </c>
      <c r="N10" s="37">
        <f t="shared" si="2"/>
        <v>0.97812752236959599</v>
      </c>
      <c r="P10" s="5">
        <v>1473811.05</v>
      </c>
      <c r="R10" s="5">
        <v>1383730</v>
      </c>
      <c r="S10" s="227">
        <f>S11</f>
        <v>1471265.59</v>
      </c>
      <c r="T10" s="5">
        <f t="shared" si="3"/>
        <v>87535.590000000084</v>
      </c>
      <c r="U10" s="37">
        <f t="shared" si="4"/>
        <v>1.063260599972538</v>
      </c>
      <c r="W10" s="5">
        <v>1420507.8199999998</v>
      </c>
      <c r="Y10" s="5">
        <v>1904759</v>
      </c>
      <c r="Z10" s="227">
        <f>Z11</f>
        <v>951309.81</v>
      </c>
      <c r="AA10" s="5">
        <f t="shared" si="5"/>
        <v>-953449.19</v>
      </c>
      <c r="AB10" s="37">
        <f t="shared" si="6"/>
        <v>0.49943841189357818</v>
      </c>
      <c r="AD10" s="5">
        <v>1460484.18</v>
      </c>
      <c r="AF10" s="5">
        <v>2097239</v>
      </c>
      <c r="AG10" s="5">
        <f>SUM(AG11)</f>
        <v>1491583.3</v>
      </c>
      <c r="AH10" s="5">
        <f t="shared" si="7"/>
        <v>-605655.69999999995</v>
      </c>
      <c r="AI10" s="37">
        <f t="shared" si="8"/>
        <v>0.71121283744961827</v>
      </c>
      <c r="AK10" s="5">
        <v>1658080.4</v>
      </c>
      <c r="AM10" s="5">
        <v>482087</v>
      </c>
      <c r="AN10" s="227">
        <f>SUM(AN11)</f>
        <v>774010.21</v>
      </c>
      <c r="AO10" s="5">
        <f t="shared" si="9"/>
        <v>291923.20999999996</v>
      </c>
      <c r="AP10" s="37">
        <f t="shared" si="10"/>
        <v>1.6055405144714543</v>
      </c>
      <c r="AR10" s="5">
        <v>1484699.02</v>
      </c>
      <c r="AT10" s="5">
        <v>1550026</v>
      </c>
      <c r="AU10" s="5">
        <f>SUM(AU11)</f>
        <v>1059288.8799999999</v>
      </c>
      <c r="AV10" s="5">
        <f t="shared" si="11"/>
        <v>-490737.12000000011</v>
      </c>
      <c r="AW10" s="37">
        <f t="shared" si="12"/>
        <v>0.68340071714926065</v>
      </c>
      <c r="AY10" s="5">
        <v>1591223.78</v>
      </c>
      <c r="BA10" s="5">
        <v>1893116</v>
      </c>
      <c r="BB10" s="227">
        <f>SUM(BB11)</f>
        <v>1751751.08</v>
      </c>
      <c r="BC10" s="227">
        <f t="shared" si="13"/>
        <v>-141364.91999999993</v>
      </c>
      <c r="BD10" s="37">
        <f t="shared" si="14"/>
        <v>0.92532685794214409</v>
      </c>
      <c r="BF10" s="5">
        <v>1943431.95</v>
      </c>
      <c r="BH10" s="4">
        <v>332058</v>
      </c>
      <c r="BI10" s="227">
        <f>BI11</f>
        <v>551112.22</v>
      </c>
      <c r="BJ10" s="227">
        <f t="shared" si="15"/>
        <v>219054.21999999997</v>
      </c>
      <c r="BK10" s="37">
        <f t="shared" si="16"/>
        <v>1.6596866210119918</v>
      </c>
      <c r="BM10" s="231">
        <v>1363537.9199999999</v>
      </c>
      <c r="BO10" s="4">
        <v>2843277</v>
      </c>
      <c r="BP10" s="5">
        <f>BP11</f>
        <v>1601177.44</v>
      </c>
      <c r="BQ10" s="5">
        <f t="shared" si="17"/>
        <v>-1242099.56</v>
      </c>
      <c r="BR10" s="37">
        <f t="shared" si="18"/>
        <v>0.56314507520723445</v>
      </c>
      <c r="BT10" s="5">
        <v>1613311.06</v>
      </c>
      <c r="BV10" s="4">
        <v>2636623</v>
      </c>
      <c r="BW10" s="5">
        <f>BW11</f>
        <v>1348500.46</v>
      </c>
      <c r="BX10" s="5">
        <f t="shared" si="19"/>
        <v>-1288122.54</v>
      </c>
      <c r="BY10" s="37">
        <f t="shared" si="20"/>
        <v>0.51144985839841339</v>
      </c>
      <c r="CA10" s="4">
        <v>2282830.9900000002</v>
      </c>
      <c r="CC10" s="4">
        <v>3063239</v>
      </c>
      <c r="CD10" s="5">
        <v>1573528.8200000003</v>
      </c>
      <c r="CE10" s="5">
        <f t="shared" si="21"/>
        <v>-1489710.1799999997</v>
      </c>
      <c r="CF10" s="37">
        <f t="shared" si="22"/>
        <v>0.51368137451893248</v>
      </c>
      <c r="CH10" s="4">
        <v>2142071.04</v>
      </c>
      <c r="CJ10" s="228">
        <f t="shared" si="27"/>
        <v>18311646</v>
      </c>
      <c r="CK10" s="5">
        <f t="shared" si="27"/>
        <v>14448818.25</v>
      </c>
      <c r="CL10" s="5">
        <f t="shared" si="23"/>
        <v>-3862827.75</v>
      </c>
      <c r="CM10" s="37">
        <f t="shared" si="28"/>
        <v>0.78905076310452926</v>
      </c>
      <c r="CO10" s="4">
        <f t="shared" si="29"/>
        <v>18091588.710000001</v>
      </c>
      <c r="CQ10" s="228">
        <f t="shared" si="24"/>
        <v>21374885</v>
      </c>
      <c r="CR10" s="5">
        <f t="shared" si="24"/>
        <v>16022347.07</v>
      </c>
      <c r="CS10" s="5">
        <f t="shared" si="25"/>
        <v>-5352537.93</v>
      </c>
      <c r="CT10" s="37">
        <f t="shared" si="26"/>
        <v>0.74958752152350761</v>
      </c>
      <c r="CV10" s="4">
        <v>20233659.75</v>
      </c>
    </row>
    <row r="11" spans="1:102" s="31" customFormat="1" ht="16.5" customHeight="1" x14ac:dyDescent="0.3">
      <c r="A11" s="29">
        <v>16</v>
      </c>
      <c r="B11" s="30" t="s">
        <v>10</v>
      </c>
      <c r="D11" s="3">
        <v>1753077</v>
      </c>
      <c r="E11" s="3">
        <v>2044566.57</v>
      </c>
      <c r="F11" s="3">
        <f t="shared" si="0"/>
        <v>291489.57000000007</v>
      </c>
      <c r="G11" s="32">
        <f t="shared" si="1"/>
        <v>1.1662731129322899</v>
      </c>
      <c r="I11" s="3">
        <v>1799670.54</v>
      </c>
      <c r="J11" s="221"/>
      <c r="K11" s="33">
        <v>1435654</v>
      </c>
      <c r="L11" s="222">
        <v>1404252.69</v>
      </c>
      <c r="M11" s="3">
        <f t="shared" si="30"/>
        <v>-31401.310000000056</v>
      </c>
      <c r="N11" s="32">
        <f t="shared" si="2"/>
        <v>0.97812752236959599</v>
      </c>
      <c r="P11" s="3">
        <v>1473811.05</v>
      </c>
      <c r="R11" s="3">
        <v>1383730</v>
      </c>
      <c r="S11" s="223">
        <v>1471265.59</v>
      </c>
      <c r="T11" s="3">
        <f t="shared" si="3"/>
        <v>87535.590000000084</v>
      </c>
      <c r="U11" s="32">
        <f t="shared" si="4"/>
        <v>1.063260599972538</v>
      </c>
      <c r="W11" s="3">
        <v>1420507.8199999998</v>
      </c>
      <c r="Y11" s="3">
        <v>1904759</v>
      </c>
      <c r="Z11" s="223">
        <v>951309.81</v>
      </c>
      <c r="AA11" s="3">
        <f t="shared" si="5"/>
        <v>-953449.19</v>
      </c>
      <c r="AB11" s="32">
        <f t="shared" si="6"/>
        <v>0.49943841189357818</v>
      </c>
      <c r="AD11" s="3">
        <v>1460484.18</v>
      </c>
      <c r="AF11" s="3">
        <v>2097239</v>
      </c>
      <c r="AG11" s="3">
        <v>1491583.3</v>
      </c>
      <c r="AH11" s="3">
        <f t="shared" si="7"/>
        <v>-605655.69999999995</v>
      </c>
      <c r="AI11" s="32">
        <f t="shared" si="8"/>
        <v>0.71121283744961827</v>
      </c>
      <c r="AK11" s="3">
        <v>1658080.4</v>
      </c>
      <c r="AM11" s="3">
        <v>482087</v>
      </c>
      <c r="AN11" s="222">
        <v>774010.21</v>
      </c>
      <c r="AO11" s="3">
        <f t="shared" si="9"/>
        <v>291923.20999999996</v>
      </c>
      <c r="AP11" s="32">
        <f t="shared" si="10"/>
        <v>1.6055405144714543</v>
      </c>
      <c r="AR11" s="3">
        <v>1484699.02</v>
      </c>
      <c r="AT11" s="3">
        <v>1550026</v>
      </c>
      <c r="AU11" s="3">
        <v>1059288.8799999999</v>
      </c>
      <c r="AV11" s="3">
        <f t="shared" si="11"/>
        <v>-490737.12000000011</v>
      </c>
      <c r="AW11" s="32">
        <f t="shared" si="12"/>
        <v>0.68340071714926065</v>
      </c>
      <c r="AY11" s="3">
        <v>1591223.78</v>
      </c>
      <c r="BA11" s="3">
        <v>1893116</v>
      </c>
      <c r="BB11" s="232">
        <v>1751751.08</v>
      </c>
      <c r="BC11" s="222">
        <f t="shared" si="13"/>
        <v>-141364.91999999993</v>
      </c>
      <c r="BD11" s="32">
        <f t="shared" si="14"/>
        <v>0.92532685794214409</v>
      </c>
      <c r="BF11" s="3">
        <v>1943431.95</v>
      </c>
      <c r="BH11" s="3">
        <v>332058</v>
      </c>
      <c r="BI11" s="222">
        <v>551112.22</v>
      </c>
      <c r="BJ11" s="222">
        <f t="shared" si="15"/>
        <v>219054.21999999997</v>
      </c>
      <c r="BK11" s="32">
        <f t="shared" si="16"/>
        <v>1.6596866210119918</v>
      </c>
      <c r="BM11" s="224">
        <v>1363537.9199999999</v>
      </c>
      <c r="BN11" s="229"/>
      <c r="BO11" s="3">
        <v>2843277</v>
      </c>
      <c r="BP11" s="3">
        <v>1601177.44</v>
      </c>
      <c r="BQ11" s="3">
        <f t="shared" si="17"/>
        <v>-1242099.56</v>
      </c>
      <c r="BR11" s="32">
        <f t="shared" si="18"/>
        <v>0.56314507520723445</v>
      </c>
      <c r="BT11" s="3">
        <v>1613311.06</v>
      </c>
      <c r="BV11" s="3">
        <v>2636623</v>
      </c>
      <c r="BW11" s="3">
        <v>1348500.46</v>
      </c>
      <c r="BX11" s="3">
        <f t="shared" si="19"/>
        <v>-1288122.54</v>
      </c>
      <c r="BY11" s="32">
        <f t="shared" si="20"/>
        <v>0.51144985839841339</v>
      </c>
      <c r="CA11" s="3">
        <v>2282830.9900000002</v>
      </c>
      <c r="CC11" s="3">
        <v>3063239</v>
      </c>
      <c r="CD11" s="3">
        <v>1573528.8200000003</v>
      </c>
      <c r="CE11" s="3">
        <f t="shared" si="21"/>
        <v>-1489710.1799999997</v>
      </c>
      <c r="CF11" s="32">
        <f t="shared" si="22"/>
        <v>0.51368137451893248</v>
      </c>
      <c r="CH11" s="3">
        <v>2142071.04</v>
      </c>
      <c r="CJ11" s="225">
        <f t="shared" si="27"/>
        <v>18311646</v>
      </c>
      <c r="CK11" s="3">
        <f t="shared" si="27"/>
        <v>14448818.25</v>
      </c>
      <c r="CL11" s="3">
        <f t="shared" si="23"/>
        <v>-3862827.75</v>
      </c>
      <c r="CM11" s="32">
        <f t="shared" si="28"/>
        <v>0.78905076310452926</v>
      </c>
      <c r="CO11" s="3">
        <f t="shared" si="29"/>
        <v>18091588.710000001</v>
      </c>
      <c r="CQ11" s="225">
        <f t="shared" si="24"/>
        <v>21374885</v>
      </c>
      <c r="CR11" s="3">
        <f t="shared" si="24"/>
        <v>16022347.07</v>
      </c>
      <c r="CS11" s="3">
        <f t="shared" si="25"/>
        <v>-5352537.93</v>
      </c>
      <c r="CT11" s="32">
        <f t="shared" si="26"/>
        <v>0.74958752152350761</v>
      </c>
      <c r="CV11" s="3">
        <v>20233659.75</v>
      </c>
    </row>
    <row r="12" spans="1:102" s="26" customFormat="1" ht="16.5" customHeight="1" x14ac:dyDescent="0.3">
      <c r="A12" s="35"/>
      <c r="B12" s="36" t="s">
        <v>11</v>
      </c>
      <c r="D12" s="5">
        <v>123930</v>
      </c>
      <c r="E12" s="5">
        <f>E13</f>
        <v>153343.26</v>
      </c>
      <c r="F12" s="4">
        <f t="shared" si="0"/>
        <v>29413.260000000009</v>
      </c>
      <c r="G12" s="37">
        <f t="shared" si="1"/>
        <v>1.2373376906318083</v>
      </c>
      <c r="I12" s="5">
        <v>199823.06</v>
      </c>
      <c r="J12" s="218"/>
      <c r="K12" s="5">
        <v>150082</v>
      </c>
      <c r="L12" s="227">
        <f>L13</f>
        <v>157528.38</v>
      </c>
      <c r="M12" s="5">
        <f t="shared" si="30"/>
        <v>7446.3800000000047</v>
      </c>
      <c r="N12" s="37">
        <f t="shared" si="2"/>
        <v>1.0496154102424009</v>
      </c>
      <c r="P12" s="5">
        <v>241989.83000000002</v>
      </c>
      <c r="R12" s="5">
        <v>140888</v>
      </c>
      <c r="S12" s="227">
        <f>S13</f>
        <v>268472.08</v>
      </c>
      <c r="T12" s="5">
        <f t="shared" si="3"/>
        <v>127584.08000000002</v>
      </c>
      <c r="U12" s="37">
        <f t="shared" si="4"/>
        <v>1.905570949974448</v>
      </c>
      <c r="W12" s="5">
        <v>227166.82</v>
      </c>
      <c r="Y12" s="5">
        <v>162219</v>
      </c>
      <c r="Z12" s="227">
        <f>Z13</f>
        <v>166108.9</v>
      </c>
      <c r="AA12" s="5">
        <f t="shared" si="5"/>
        <v>3889.8999999999942</v>
      </c>
      <c r="AB12" s="37">
        <f t="shared" si="6"/>
        <v>1.0239793119178395</v>
      </c>
      <c r="AD12" s="5">
        <v>212678.55</v>
      </c>
      <c r="AF12" s="5">
        <v>125103</v>
      </c>
      <c r="AG12" s="5">
        <f>SUM(AG13)</f>
        <v>128577.14</v>
      </c>
      <c r="AH12" s="5">
        <f t="shared" si="7"/>
        <v>3474.1399999999994</v>
      </c>
      <c r="AI12" s="37">
        <f t="shared" si="8"/>
        <v>1.0277702373244446</v>
      </c>
      <c r="AK12" s="5">
        <v>152834.35999999999</v>
      </c>
      <c r="AM12" s="5">
        <v>30316</v>
      </c>
      <c r="AN12" s="227">
        <f>SUM(AN13)</f>
        <v>159039.24</v>
      </c>
      <c r="AO12" s="5">
        <f t="shared" si="9"/>
        <v>128723.23999999999</v>
      </c>
      <c r="AP12" s="37">
        <f t="shared" si="10"/>
        <v>5.2460496107665913</v>
      </c>
      <c r="AR12" s="5">
        <v>146646.29</v>
      </c>
      <c r="AT12" s="5">
        <v>116823</v>
      </c>
      <c r="AU12" s="5">
        <f>SUM(AU13)</f>
        <v>120910.56</v>
      </c>
      <c r="AV12" s="5">
        <f t="shared" si="11"/>
        <v>4087.5599999999977</v>
      </c>
      <c r="AW12" s="37">
        <f t="shared" si="12"/>
        <v>1.0349893428520069</v>
      </c>
      <c r="AY12" s="5">
        <v>188364.73</v>
      </c>
      <c r="BA12" s="5">
        <v>103786</v>
      </c>
      <c r="BB12" s="227">
        <f>SUM(BB13)</f>
        <v>482351.41</v>
      </c>
      <c r="BC12" s="227">
        <f t="shared" si="13"/>
        <v>378565.41</v>
      </c>
      <c r="BD12" s="37">
        <f t="shared" si="14"/>
        <v>4.6475575703852154</v>
      </c>
      <c r="BF12" s="5">
        <v>167343.78</v>
      </c>
      <c r="BH12" s="4">
        <v>15096</v>
      </c>
      <c r="BI12" s="227">
        <f>BI13</f>
        <v>74385.8</v>
      </c>
      <c r="BJ12" s="227">
        <f t="shared" si="15"/>
        <v>59289.8</v>
      </c>
      <c r="BK12" s="37">
        <f t="shared" si="16"/>
        <v>4.9275172231054585</v>
      </c>
      <c r="BM12" s="231">
        <v>97361.14</v>
      </c>
      <c r="BO12" s="4">
        <v>135568</v>
      </c>
      <c r="BP12" s="5">
        <f>BP13</f>
        <v>257814.73</v>
      </c>
      <c r="BQ12" s="5">
        <f t="shared" si="17"/>
        <v>122246.73000000001</v>
      </c>
      <c r="BR12" s="37">
        <f t="shared" si="18"/>
        <v>1.9017373568983831</v>
      </c>
      <c r="BT12" s="5">
        <v>126348.9</v>
      </c>
      <c r="BV12" s="4">
        <v>229860</v>
      </c>
      <c r="BW12" s="4">
        <f>BW13</f>
        <v>308039.94</v>
      </c>
      <c r="BX12" s="5">
        <f t="shared" si="19"/>
        <v>78179.94</v>
      </c>
      <c r="BY12" s="37">
        <f t="shared" si="20"/>
        <v>1.3401198120595146</v>
      </c>
      <c r="CA12" s="4">
        <v>242510.5</v>
      </c>
      <c r="CC12" s="4">
        <v>203807</v>
      </c>
      <c r="CD12" s="4">
        <v>131823.93</v>
      </c>
      <c r="CE12" s="5">
        <f t="shared" si="21"/>
        <v>-71983.070000000007</v>
      </c>
      <c r="CF12" s="37">
        <f t="shared" si="22"/>
        <v>0.64680766607623874</v>
      </c>
      <c r="CH12" s="4">
        <v>287000.28999999998</v>
      </c>
      <c r="CJ12" s="228">
        <f t="shared" si="27"/>
        <v>1333671</v>
      </c>
      <c r="CK12" s="5">
        <f t="shared" si="27"/>
        <v>2276571.44</v>
      </c>
      <c r="CL12" s="5">
        <f t="shared" si="23"/>
        <v>942900.44</v>
      </c>
      <c r="CM12" s="37">
        <f t="shared" si="28"/>
        <v>1.7069962831912817</v>
      </c>
      <c r="CO12" s="4">
        <f t="shared" si="29"/>
        <v>2003067.9599999997</v>
      </c>
      <c r="CQ12" s="228">
        <f t="shared" si="24"/>
        <v>1537478</v>
      </c>
      <c r="CR12" s="5">
        <f t="shared" si="24"/>
        <v>2408395.37</v>
      </c>
      <c r="CS12" s="5">
        <f t="shared" si="25"/>
        <v>870917.37000000011</v>
      </c>
      <c r="CT12" s="37">
        <f t="shared" si="26"/>
        <v>1.5664584273726194</v>
      </c>
      <c r="CV12" s="4">
        <v>2290068.2499999995</v>
      </c>
    </row>
    <row r="13" spans="1:102" s="31" customFormat="1" ht="16.5" customHeight="1" x14ac:dyDescent="0.3">
      <c r="A13" s="29">
        <v>17</v>
      </c>
      <c r="B13" s="30" t="s">
        <v>12</v>
      </c>
      <c r="D13" s="3">
        <v>123930</v>
      </c>
      <c r="E13" s="3">
        <v>153343.26</v>
      </c>
      <c r="F13" s="3">
        <f t="shared" si="0"/>
        <v>29413.260000000009</v>
      </c>
      <c r="G13" s="32">
        <f t="shared" si="1"/>
        <v>1.2373376906318083</v>
      </c>
      <c r="I13" s="3">
        <v>199823.06</v>
      </c>
      <c r="J13" s="221"/>
      <c r="K13" s="33">
        <v>150082</v>
      </c>
      <c r="L13" s="222">
        <v>157528.38</v>
      </c>
      <c r="M13" s="3">
        <f t="shared" si="30"/>
        <v>7446.3800000000047</v>
      </c>
      <c r="N13" s="32">
        <f t="shared" si="2"/>
        <v>1.0496154102424009</v>
      </c>
      <c r="P13" s="3">
        <v>241989.83000000002</v>
      </c>
      <c r="R13" s="3">
        <v>140888</v>
      </c>
      <c r="S13" s="223">
        <v>268472.08</v>
      </c>
      <c r="T13" s="3">
        <f t="shared" si="3"/>
        <v>127584.08000000002</v>
      </c>
      <c r="U13" s="32">
        <f t="shared" si="4"/>
        <v>1.905570949974448</v>
      </c>
      <c r="W13" s="3">
        <v>227166.82</v>
      </c>
      <c r="Y13" s="3">
        <v>162219</v>
      </c>
      <c r="Z13" s="223">
        <v>166108.9</v>
      </c>
      <c r="AA13" s="3">
        <f t="shared" si="5"/>
        <v>3889.8999999999942</v>
      </c>
      <c r="AB13" s="32">
        <f t="shared" si="6"/>
        <v>1.0239793119178395</v>
      </c>
      <c r="AD13" s="3">
        <v>212678.55</v>
      </c>
      <c r="AF13" s="3">
        <v>125103</v>
      </c>
      <c r="AG13" s="3">
        <v>128577.14</v>
      </c>
      <c r="AH13" s="3">
        <f t="shared" si="7"/>
        <v>3474.1399999999994</v>
      </c>
      <c r="AI13" s="32">
        <f t="shared" si="8"/>
        <v>1.0277702373244446</v>
      </c>
      <c r="AK13" s="3">
        <v>152834.35999999999</v>
      </c>
      <c r="AM13" s="3">
        <v>30316</v>
      </c>
      <c r="AN13" s="222">
        <v>159039.24</v>
      </c>
      <c r="AO13" s="3">
        <f t="shared" si="9"/>
        <v>128723.23999999999</v>
      </c>
      <c r="AP13" s="32">
        <f t="shared" si="10"/>
        <v>5.2460496107665913</v>
      </c>
      <c r="AR13" s="3">
        <v>146646.29</v>
      </c>
      <c r="AT13" s="3">
        <v>116823</v>
      </c>
      <c r="AU13" s="3">
        <v>120910.56</v>
      </c>
      <c r="AV13" s="3">
        <f t="shared" si="11"/>
        <v>4087.5599999999977</v>
      </c>
      <c r="AW13" s="32">
        <f t="shared" si="12"/>
        <v>1.0349893428520069</v>
      </c>
      <c r="AY13" s="3">
        <v>188364.73</v>
      </c>
      <c r="BA13" s="3">
        <v>103786</v>
      </c>
      <c r="BB13" s="222">
        <v>482351.41</v>
      </c>
      <c r="BC13" s="222">
        <f t="shared" si="13"/>
        <v>378565.41</v>
      </c>
      <c r="BD13" s="32">
        <f t="shared" si="14"/>
        <v>4.6475575703852154</v>
      </c>
      <c r="BF13" s="3">
        <v>167343.78</v>
      </c>
      <c r="BH13" s="3">
        <v>15096</v>
      </c>
      <c r="BI13" s="222">
        <v>74385.8</v>
      </c>
      <c r="BJ13" s="222">
        <f t="shared" si="15"/>
        <v>59289.8</v>
      </c>
      <c r="BK13" s="32">
        <f t="shared" si="16"/>
        <v>4.9275172231054585</v>
      </c>
      <c r="BM13" s="224">
        <v>97361.14</v>
      </c>
      <c r="BO13" s="3">
        <v>135568</v>
      </c>
      <c r="BP13" s="3">
        <v>257814.73</v>
      </c>
      <c r="BQ13" s="3">
        <f t="shared" si="17"/>
        <v>122246.73000000001</v>
      </c>
      <c r="BR13" s="32">
        <f t="shared" si="18"/>
        <v>1.9017373568983831</v>
      </c>
      <c r="BT13" s="3">
        <v>126348.9</v>
      </c>
      <c r="BV13" s="3">
        <v>229860</v>
      </c>
      <c r="BW13" s="3">
        <v>308039.94</v>
      </c>
      <c r="BX13" s="3">
        <f t="shared" si="19"/>
        <v>78179.94</v>
      </c>
      <c r="BY13" s="32">
        <f t="shared" si="20"/>
        <v>1.3401198120595146</v>
      </c>
      <c r="CA13" s="3">
        <v>242510.5</v>
      </c>
      <c r="CC13" s="3">
        <v>203807</v>
      </c>
      <c r="CD13" s="3">
        <v>131823.93</v>
      </c>
      <c r="CE13" s="3">
        <f t="shared" si="21"/>
        <v>-71983.070000000007</v>
      </c>
      <c r="CF13" s="32">
        <f t="shared" si="22"/>
        <v>0.64680766607623874</v>
      </c>
      <c r="CH13" s="3">
        <v>287000.28999999998</v>
      </c>
      <c r="CJ13" s="225">
        <f t="shared" si="27"/>
        <v>1333671</v>
      </c>
      <c r="CK13" s="3">
        <f t="shared" si="27"/>
        <v>2276571.44</v>
      </c>
      <c r="CL13" s="3">
        <f t="shared" si="23"/>
        <v>942900.44</v>
      </c>
      <c r="CM13" s="32">
        <f t="shared" si="28"/>
        <v>1.7069962831912817</v>
      </c>
      <c r="CO13" s="3">
        <f t="shared" si="29"/>
        <v>2003067.9599999997</v>
      </c>
      <c r="CQ13" s="225">
        <f t="shared" si="24"/>
        <v>1537478</v>
      </c>
      <c r="CR13" s="3">
        <f t="shared" si="24"/>
        <v>2408395.37</v>
      </c>
      <c r="CS13" s="3">
        <f t="shared" si="25"/>
        <v>870917.37000000011</v>
      </c>
      <c r="CT13" s="32">
        <f t="shared" si="26"/>
        <v>1.5664584273726194</v>
      </c>
      <c r="CV13" s="3">
        <v>2290068.2499999995</v>
      </c>
    </row>
    <row r="14" spans="1:102" s="26" customFormat="1" ht="16.5" customHeight="1" x14ac:dyDescent="0.3">
      <c r="A14" s="35"/>
      <c r="B14" s="36" t="s">
        <v>13</v>
      </c>
      <c r="D14" s="4">
        <v>7377054</v>
      </c>
      <c r="E14" s="4">
        <f>E15+E16+E17</f>
        <v>14410378.970000001</v>
      </c>
      <c r="F14" s="4">
        <f t="shared" si="0"/>
        <v>7033324.9700000007</v>
      </c>
      <c r="G14" s="37">
        <f t="shared" si="1"/>
        <v>1.9534056508194193</v>
      </c>
      <c r="I14" s="5">
        <v>9571474.9000000004</v>
      </c>
      <c r="J14" s="218"/>
      <c r="K14" s="4">
        <f>SUM(K15:K17)</f>
        <v>3670448</v>
      </c>
      <c r="L14" s="226">
        <f>SUM(L15:L17)</f>
        <v>5472379.7999999998</v>
      </c>
      <c r="M14" s="5">
        <f t="shared" si="30"/>
        <v>1801931.7999999998</v>
      </c>
      <c r="N14" s="37">
        <f t="shared" si="2"/>
        <v>1.4909296630819997</v>
      </c>
      <c r="P14" s="5">
        <v>4960256.07</v>
      </c>
      <c r="R14" s="4">
        <f>SUM(R15:R17)</f>
        <v>3669449</v>
      </c>
      <c r="S14" s="226">
        <f>S15+S16+S17</f>
        <v>7756068.9700000007</v>
      </c>
      <c r="T14" s="5">
        <f t="shared" si="3"/>
        <v>4086619.9700000007</v>
      </c>
      <c r="U14" s="37">
        <f t="shared" si="4"/>
        <v>2.1136876326663758</v>
      </c>
      <c r="W14" s="5">
        <v>3707755.2499999995</v>
      </c>
      <c r="Y14" s="4">
        <f>SUM(Y15:Y17)</f>
        <v>5200749</v>
      </c>
      <c r="Z14" s="226">
        <f>Z15+Z16+Z17</f>
        <v>4227564.16</v>
      </c>
      <c r="AA14" s="5">
        <f t="shared" si="5"/>
        <v>-973184.83999999985</v>
      </c>
      <c r="AB14" s="37">
        <f t="shared" si="6"/>
        <v>0.81287602228063693</v>
      </c>
      <c r="AD14" s="5">
        <v>18276307.739999998</v>
      </c>
      <c r="AF14" s="4">
        <f>SUM(AF15:AF17)</f>
        <v>6248525</v>
      </c>
      <c r="AG14" s="4">
        <f>SUM(AG15:AG17)</f>
        <v>2988825.23</v>
      </c>
      <c r="AH14" s="5">
        <f t="shared" si="7"/>
        <v>-3259699.77</v>
      </c>
      <c r="AI14" s="37">
        <f t="shared" si="8"/>
        <v>0.4783249214814696</v>
      </c>
      <c r="AK14" s="5">
        <v>4648847.21</v>
      </c>
      <c r="AM14" s="4">
        <f>SUM(AM15:AM17)</f>
        <v>810648</v>
      </c>
      <c r="AN14" s="226">
        <f>SUM(AN15:AN17)</f>
        <v>2449315.96</v>
      </c>
      <c r="AO14" s="5">
        <f t="shared" si="9"/>
        <v>1638667.96</v>
      </c>
      <c r="AP14" s="37">
        <f t="shared" si="10"/>
        <v>3.0214297204211937</v>
      </c>
      <c r="AR14" s="5">
        <v>2828866.01</v>
      </c>
      <c r="AT14" s="4">
        <f>SUM(AT15:AT17)</f>
        <v>5037182</v>
      </c>
      <c r="AU14" s="4">
        <f>SUM(AU15:AU17)</f>
        <v>2237938.59</v>
      </c>
      <c r="AV14" s="5">
        <f t="shared" si="11"/>
        <v>-2799243.41</v>
      </c>
      <c r="AW14" s="37">
        <f t="shared" si="12"/>
        <v>0.44428384561050205</v>
      </c>
      <c r="AY14" s="5">
        <v>2546448.0799999996</v>
      </c>
      <c r="BA14" s="5">
        <f>SUM(BA15:BA17)</f>
        <v>5752287</v>
      </c>
      <c r="BB14" s="226">
        <f>SUM(BB15:BB17)</f>
        <v>6386153.9000000004</v>
      </c>
      <c r="BC14" s="227">
        <f t="shared" si="13"/>
        <v>633866.90000000037</v>
      </c>
      <c r="BD14" s="37">
        <f t="shared" si="14"/>
        <v>1.1101938933158237</v>
      </c>
      <c r="BF14" s="5">
        <v>3568775.46</v>
      </c>
      <c r="BH14" s="4">
        <f>SUM(BH15:BH17)</f>
        <v>631640</v>
      </c>
      <c r="BI14" s="226">
        <f>BI15+BI16+BI17</f>
        <v>1373299.73</v>
      </c>
      <c r="BJ14" s="227">
        <f t="shared" si="15"/>
        <v>741659.73</v>
      </c>
      <c r="BK14" s="37">
        <f t="shared" si="16"/>
        <v>2.1741810683300615</v>
      </c>
      <c r="BM14" s="231">
        <v>2298242.6199999996</v>
      </c>
      <c r="BO14" s="4">
        <f>SUM(BO15:BO17)</f>
        <v>4985450</v>
      </c>
      <c r="BP14" s="4">
        <f>BP15+BP16+BP17</f>
        <v>3828793.61</v>
      </c>
      <c r="BQ14" s="5">
        <f t="shared" si="17"/>
        <v>-1156656.3900000001</v>
      </c>
      <c r="BR14" s="37">
        <f t="shared" si="18"/>
        <v>0.76799358332748291</v>
      </c>
      <c r="BT14" s="5">
        <v>2559165.1500000004</v>
      </c>
      <c r="BV14" s="4">
        <v>5118746</v>
      </c>
      <c r="BW14" s="4">
        <f>SUM(BW15:BW17)</f>
        <v>5677848.8500000006</v>
      </c>
      <c r="BX14" s="5">
        <f t="shared" si="19"/>
        <v>559102.85000000056</v>
      </c>
      <c r="BY14" s="37">
        <f t="shared" si="20"/>
        <v>1.109226527356505</v>
      </c>
      <c r="CA14" s="4">
        <v>3799288.9999999995</v>
      </c>
      <c r="CC14" s="4">
        <f>SUM(CC15:CC17)</f>
        <v>4015769</v>
      </c>
      <c r="CD14" s="4">
        <v>3437111.1300000004</v>
      </c>
      <c r="CE14" s="5">
        <f t="shared" si="21"/>
        <v>-578657.86999999965</v>
      </c>
      <c r="CF14" s="37">
        <f t="shared" si="22"/>
        <v>0.8559035965465146</v>
      </c>
      <c r="CH14" s="4">
        <v>4065215.2600000002</v>
      </c>
      <c r="CJ14" s="228">
        <f t="shared" si="27"/>
        <v>48502178</v>
      </c>
      <c r="CK14" s="5">
        <f t="shared" si="27"/>
        <v>56808567.770000003</v>
      </c>
      <c r="CL14" s="5">
        <f t="shared" si="23"/>
        <v>8306389.7700000033</v>
      </c>
      <c r="CM14" s="37">
        <f t="shared" si="28"/>
        <v>1.1712580777300352</v>
      </c>
      <c r="CO14" s="4">
        <f t="shared" si="29"/>
        <v>58765427.489999987</v>
      </c>
      <c r="CQ14" s="228">
        <f t="shared" si="24"/>
        <v>52517947</v>
      </c>
      <c r="CR14" s="5">
        <f t="shared" si="24"/>
        <v>60245678.900000006</v>
      </c>
      <c r="CS14" s="5">
        <f t="shared" si="25"/>
        <v>7727731.900000006</v>
      </c>
      <c r="CT14" s="37">
        <f t="shared" si="26"/>
        <v>1.1471445923047983</v>
      </c>
      <c r="CV14" s="4">
        <v>62830642.749999985</v>
      </c>
    </row>
    <row r="15" spans="1:102" s="31" customFormat="1" ht="16.5" customHeight="1" x14ac:dyDescent="0.3">
      <c r="A15" s="29">
        <v>18</v>
      </c>
      <c r="B15" s="30" t="s">
        <v>6</v>
      </c>
      <c r="D15" s="3">
        <v>5777775</v>
      </c>
      <c r="E15" s="3">
        <v>8375993.21</v>
      </c>
      <c r="F15" s="3">
        <f t="shared" si="0"/>
        <v>2598218.21</v>
      </c>
      <c r="G15" s="32">
        <f t="shared" si="1"/>
        <v>1.4496918294672256</v>
      </c>
      <c r="I15" s="3">
        <v>6649988.5099999998</v>
      </c>
      <c r="J15" s="221"/>
      <c r="K15" s="33">
        <v>2686583</v>
      </c>
      <c r="L15" s="222">
        <v>2703413.75</v>
      </c>
      <c r="M15" s="3">
        <f t="shared" si="30"/>
        <v>16830.75</v>
      </c>
      <c r="N15" s="32">
        <f t="shared" si="2"/>
        <v>1.0062647422394915</v>
      </c>
      <c r="P15" s="3">
        <v>3092150.16</v>
      </c>
      <c r="R15" s="3">
        <v>2889051</v>
      </c>
      <c r="S15" s="223">
        <v>4525951.8600000003</v>
      </c>
      <c r="T15" s="3">
        <f t="shared" si="3"/>
        <v>1636900.8600000003</v>
      </c>
      <c r="U15" s="32">
        <f t="shared" si="4"/>
        <v>1.5665877341729171</v>
      </c>
      <c r="W15" s="3">
        <v>2194864.0699999998</v>
      </c>
      <c r="Y15" s="3">
        <v>2020170</v>
      </c>
      <c r="Z15" s="223">
        <v>2937172.9</v>
      </c>
      <c r="AA15" s="3">
        <f t="shared" si="5"/>
        <v>917002.89999999991</v>
      </c>
      <c r="AB15" s="32">
        <f t="shared" si="6"/>
        <v>1.4539236301895384</v>
      </c>
      <c r="AD15" s="3">
        <v>1871714.32</v>
      </c>
      <c r="AF15" s="3">
        <v>4093791</v>
      </c>
      <c r="AG15" s="3">
        <v>1818544.33</v>
      </c>
      <c r="AH15" s="3">
        <f t="shared" si="7"/>
        <v>-2275246.67</v>
      </c>
      <c r="AI15" s="32">
        <f t="shared" si="8"/>
        <v>0.44422012017711704</v>
      </c>
      <c r="AK15" s="3">
        <v>1997734.33</v>
      </c>
      <c r="AM15" s="3">
        <v>393950</v>
      </c>
      <c r="AN15" s="222">
        <v>1496504.8</v>
      </c>
      <c r="AO15" s="3">
        <f t="shared" si="9"/>
        <v>1102554.8</v>
      </c>
      <c r="AP15" s="32">
        <f t="shared" si="10"/>
        <v>3.7987176037568222</v>
      </c>
      <c r="AR15" s="3">
        <v>1360262.75</v>
      </c>
      <c r="AT15" s="3">
        <v>3697077</v>
      </c>
      <c r="AU15" s="3">
        <v>1182819.8400000001</v>
      </c>
      <c r="AV15" s="3">
        <f t="shared" si="11"/>
        <v>-2514257.16</v>
      </c>
      <c r="AW15" s="32">
        <f t="shared" si="12"/>
        <v>0.31993378552840529</v>
      </c>
      <c r="AY15" s="3">
        <v>1994553.51</v>
      </c>
      <c r="BA15" s="3">
        <v>4200490</v>
      </c>
      <c r="BB15" s="222">
        <v>3895127.54</v>
      </c>
      <c r="BC15" s="222">
        <f t="shared" si="13"/>
        <v>-305362.45999999996</v>
      </c>
      <c r="BD15" s="32">
        <f t="shared" si="14"/>
        <v>0.92730313368202277</v>
      </c>
      <c r="BF15" s="3">
        <v>2573961.5299999998</v>
      </c>
      <c r="BH15" s="3">
        <v>410079</v>
      </c>
      <c r="BI15" s="222">
        <v>1082515.0900000001</v>
      </c>
      <c r="BJ15" s="222">
        <f t="shared" si="15"/>
        <v>672436.09000000008</v>
      </c>
      <c r="BK15" s="32">
        <f t="shared" si="16"/>
        <v>2.6397720683087895</v>
      </c>
      <c r="BM15" s="224">
        <v>1887937.39</v>
      </c>
      <c r="BN15" s="229"/>
      <c r="BO15" s="3">
        <v>3528289</v>
      </c>
      <c r="BP15" s="3">
        <v>2263696.21</v>
      </c>
      <c r="BQ15" s="3">
        <f t="shared" si="17"/>
        <v>-1264592.79</v>
      </c>
      <c r="BR15" s="32">
        <f t="shared" si="18"/>
        <v>0.64158469161681486</v>
      </c>
      <c r="BT15" s="3">
        <v>1733394.75</v>
      </c>
      <c r="BV15" s="3">
        <v>3914044</v>
      </c>
      <c r="BW15" s="3">
        <v>4235251.25</v>
      </c>
      <c r="BX15" s="3">
        <f t="shared" si="19"/>
        <v>321207.25</v>
      </c>
      <c r="BY15" s="32">
        <f t="shared" si="20"/>
        <v>1.0820653140332608</v>
      </c>
      <c r="CA15" s="3">
        <v>2483136.5099999998</v>
      </c>
      <c r="CC15" s="3">
        <v>2862538</v>
      </c>
      <c r="CD15" s="3">
        <v>1944358.05</v>
      </c>
      <c r="CE15" s="3">
        <f t="shared" si="21"/>
        <v>-918179.95</v>
      </c>
      <c r="CF15" s="32">
        <f t="shared" si="22"/>
        <v>0.67924270350297533</v>
      </c>
      <c r="CH15" s="3">
        <v>3438195.73</v>
      </c>
      <c r="CJ15" s="225">
        <f t="shared" si="27"/>
        <v>33611299</v>
      </c>
      <c r="CK15" s="3">
        <f t="shared" si="27"/>
        <v>34516990.780000001</v>
      </c>
      <c r="CL15" s="3">
        <f t="shared" si="23"/>
        <v>905691.78000000119</v>
      </c>
      <c r="CM15" s="32">
        <f t="shared" si="28"/>
        <v>1.0269460510883557</v>
      </c>
      <c r="CO15" s="3">
        <f t="shared" si="29"/>
        <v>27839697.830000006</v>
      </c>
      <c r="CQ15" s="225">
        <f t="shared" si="24"/>
        <v>36473837</v>
      </c>
      <c r="CR15" s="3">
        <f t="shared" si="24"/>
        <v>36461348.829999998</v>
      </c>
      <c r="CS15" s="3">
        <f t="shared" si="25"/>
        <v>-12488.170000001788</v>
      </c>
      <c r="CT15" s="32">
        <f t="shared" si="26"/>
        <v>0.99965761293499222</v>
      </c>
      <c r="CV15" s="3">
        <v>31277893.560000006</v>
      </c>
    </row>
    <row r="16" spans="1:102" s="31" customFormat="1" ht="16.5" customHeight="1" x14ac:dyDescent="0.3">
      <c r="A16" s="29"/>
      <c r="B16" s="30" t="s">
        <v>7</v>
      </c>
      <c r="D16" s="3">
        <v>1421028</v>
      </c>
      <c r="E16" s="3">
        <v>5912818.71</v>
      </c>
      <c r="F16" s="3">
        <f t="shared" si="0"/>
        <v>4491790.71</v>
      </c>
      <c r="G16" s="32">
        <f t="shared" si="1"/>
        <v>4.1609445485943981</v>
      </c>
      <c r="I16" s="3">
        <v>2787766.01</v>
      </c>
      <c r="J16" s="221"/>
      <c r="K16" s="33">
        <v>929946</v>
      </c>
      <c r="L16" s="222">
        <v>2693348.25</v>
      </c>
      <c r="M16" s="3">
        <f t="shared" si="30"/>
        <v>1763402.25</v>
      </c>
      <c r="N16" s="32">
        <f t="shared" si="2"/>
        <v>2.8962415559613137</v>
      </c>
      <c r="P16" s="3">
        <v>1824400.79</v>
      </c>
      <c r="R16" s="3">
        <v>764814</v>
      </c>
      <c r="S16" s="223">
        <v>2712608.27</v>
      </c>
      <c r="T16" s="3">
        <f t="shared" si="3"/>
        <v>1947794.27</v>
      </c>
      <c r="U16" s="32">
        <f t="shared" si="4"/>
        <v>3.5467555117976399</v>
      </c>
      <c r="W16" s="3">
        <v>1500258.88</v>
      </c>
      <c r="Y16" s="3">
        <v>3127699</v>
      </c>
      <c r="Z16" s="223">
        <v>1290391.26</v>
      </c>
      <c r="AA16" s="3">
        <f t="shared" si="5"/>
        <v>-1837307.74</v>
      </c>
      <c r="AB16" s="32">
        <f t="shared" si="6"/>
        <v>0.41256887571342382</v>
      </c>
      <c r="AD16" s="3">
        <v>16361737.24</v>
      </c>
      <c r="AF16" s="3">
        <v>1351405</v>
      </c>
      <c r="AG16" s="3">
        <v>1108559.93</v>
      </c>
      <c r="AH16" s="3">
        <f t="shared" si="7"/>
        <v>-242845.07000000007</v>
      </c>
      <c r="AI16" s="32">
        <f t="shared" si="8"/>
        <v>0.82030178221924588</v>
      </c>
      <c r="AK16" s="3">
        <v>2651112.88</v>
      </c>
      <c r="AM16" s="3">
        <v>416698</v>
      </c>
      <c r="AN16" s="222">
        <v>951166.86</v>
      </c>
      <c r="AO16" s="3">
        <f t="shared" si="9"/>
        <v>534468.86</v>
      </c>
      <c r="AP16" s="32">
        <f t="shared" si="10"/>
        <v>2.2826288103134642</v>
      </c>
      <c r="AR16" s="3">
        <v>817508.22</v>
      </c>
      <c r="AT16" s="3">
        <v>1312428</v>
      </c>
      <c r="AU16" s="3">
        <v>902610.1</v>
      </c>
      <c r="AV16" s="3">
        <f t="shared" si="11"/>
        <v>-409817.9</v>
      </c>
      <c r="AW16" s="32">
        <f t="shared" si="12"/>
        <v>0.68774066082101259</v>
      </c>
      <c r="AY16" s="3">
        <v>529459.96</v>
      </c>
      <c r="BA16" s="3">
        <v>1548225</v>
      </c>
      <c r="BB16" s="222">
        <v>1893317.82</v>
      </c>
      <c r="BC16" s="222">
        <f t="shared" si="13"/>
        <v>345092.82000000007</v>
      </c>
      <c r="BD16" s="32">
        <f t="shared" si="14"/>
        <v>1.2228957806520371</v>
      </c>
      <c r="BF16" s="3">
        <v>991920.94</v>
      </c>
      <c r="BH16" s="3">
        <v>200538</v>
      </c>
      <c r="BI16" s="222">
        <v>290784.64000000001</v>
      </c>
      <c r="BJ16" s="222">
        <f t="shared" si="15"/>
        <v>90246.640000000014</v>
      </c>
      <c r="BK16" s="32">
        <f t="shared" si="16"/>
        <v>1.4500226391008189</v>
      </c>
      <c r="BM16" s="224">
        <v>393268.58</v>
      </c>
      <c r="BN16" s="229"/>
      <c r="BO16" s="3">
        <v>1453460</v>
      </c>
      <c r="BP16" s="3">
        <v>1565097.4</v>
      </c>
      <c r="BQ16" s="3">
        <f t="shared" si="17"/>
        <v>111637.39999999991</v>
      </c>
      <c r="BR16" s="32">
        <f t="shared" si="18"/>
        <v>1.0768080304927552</v>
      </c>
      <c r="BT16" s="3">
        <v>806020.03</v>
      </c>
      <c r="BV16" s="3">
        <v>1201001</v>
      </c>
      <c r="BW16" s="34">
        <v>1432054.62</v>
      </c>
      <c r="BX16" s="3">
        <f t="shared" si="19"/>
        <v>231053.62000000011</v>
      </c>
      <c r="BY16" s="32">
        <f t="shared" si="20"/>
        <v>1.1923842028441276</v>
      </c>
      <c r="CA16" s="3">
        <v>862687.15</v>
      </c>
      <c r="CC16" s="3">
        <v>1149527</v>
      </c>
      <c r="CD16" s="3">
        <v>1480757.4</v>
      </c>
      <c r="CE16" s="3">
        <f t="shared" si="21"/>
        <v>331230.39999999991</v>
      </c>
      <c r="CF16" s="32">
        <f t="shared" si="22"/>
        <v>1.2881449500533697</v>
      </c>
      <c r="CH16" s="3">
        <v>619414.55000000005</v>
      </c>
      <c r="CJ16" s="225">
        <f t="shared" si="27"/>
        <v>13727242</v>
      </c>
      <c r="CK16" s="3">
        <f t="shared" si="27"/>
        <v>20752757.859999999</v>
      </c>
      <c r="CL16" s="3">
        <f t="shared" si="23"/>
        <v>7025515.8599999994</v>
      </c>
      <c r="CM16" s="32">
        <f t="shared" si="28"/>
        <v>1.5117936916971377</v>
      </c>
      <c r="CO16" s="3">
        <f t="shared" si="29"/>
        <v>29526140.68</v>
      </c>
      <c r="CQ16" s="225">
        <f t="shared" si="24"/>
        <v>14876769</v>
      </c>
      <c r="CR16" s="3">
        <f t="shared" si="24"/>
        <v>22233515.259999998</v>
      </c>
      <c r="CS16" s="3">
        <f t="shared" si="25"/>
        <v>7356746.2599999979</v>
      </c>
      <c r="CT16" s="32">
        <f t="shared" si="26"/>
        <v>1.4945123675712111</v>
      </c>
      <c r="CV16" s="3">
        <v>30145555.23</v>
      </c>
    </row>
    <row r="17" spans="1:102" s="31" customFormat="1" ht="16.5" customHeight="1" x14ac:dyDescent="0.3">
      <c r="A17" s="29"/>
      <c r="B17" s="30" t="s">
        <v>8</v>
      </c>
      <c r="D17" s="3">
        <v>178251</v>
      </c>
      <c r="E17" s="3">
        <v>121567.05</v>
      </c>
      <c r="F17" s="3">
        <f t="shared" si="0"/>
        <v>-56683.95</v>
      </c>
      <c r="G17" s="32">
        <f t="shared" si="1"/>
        <v>0.68199925947119511</v>
      </c>
      <c r="I17" s="3">
        <v>133720.38</v>
      </c>
      <c r="J17" s="221"/>
      <c r="K17" s="33">
        <v>53919</v>
      </c>
      <c r="L17" s="222">
        <v>75617.8</v>
      </c>
      <c r="M17" s="3">
        <f t="shared" si="30"/>
        <v>21698.800000000003</v>
      </c>
      <c r="N17" s="32">
        <f t="shared" si="2"/>
        <v>1.4024332795489531</v>
      </c>
      <c r="P17" s="3">
        <v>43705.120000000003</v>
      </c>
      <c r="R17" s="3">
        <v>15584</v>
      </c>
      <c r="S17" s="223">
        <v>517508.84</v>
      </c>
      <c r="T17" s="3">
        <f t="shared" si="3"/>
        <v>501924.84</v>
      </c>
      <c r="U17" s="32">
        <f t="shared" si="4"/>
        <v>33.207702772073922</v>
      </c>
      <c r="W17" s="3">
        <v>12632.3</v>
      </c>
      <c r="Y17" s="3">
        <v>52880</v>
      </c>
      <c r="Z17" s="3">
        <v>0</v>
      </c>
      <c r="AA17" s="3">
        <f t="shared" si="5"/>
        <v>-52880</v>
      </c>
      <c r="AB17" s="32">
        <f t="shared" si="6"/>
        <v>0</v>
      </c>
      <c r="AD17" s="3">
        <v>42856.18</v>
      </c>
      <c r="AF17" s="3">
        <v>803329</v>
      </c>
      <c r="AG17" s="3">
        <v>61720.97</v>
      </c>
      <c r="AH17" s="3">
        <f t="shared" si="7"/>
        <v>-741608.03</v>
      </c>
      <c r="AI17" s="32">
        <f t="shared" si="8"/>
        <v>7.6831497431313941E-2</v>
      </c>
      <c r="AK17" s="3">
        <v>0</v>
      </c>
      <c r="AM17" s="3">
        <v>0</v>
      </c>
      <c r="AN17" s="222">
        <v>1644.3</v>
      </c>
      <c r="AO17" s="3">
        <f t="shared" si="9"/>
        <v>1644.3</v>
      </c>
      <c r="AP17" s="32">
        <f t="shared" si="10"/>
        <v>0</v>
      </c>
      <c r="AR17" s="3">
        <v>651095.04000000004</v>
      </c>
      <c r="AT17" s="3">
        <v>27677</v>
      </c>
      <c r="AU17" s="3">
        <v>152508.65</v>
      </c>
      <c r="AV17" s="3">
        <f t="shared" si="11"/>
        <v>124831.65</v>
      </c>
      <c r="AW17" s="32">
        <f t="shared" si="12"/>
        <v>5.5103027784803267</v>
      </c>
      <c r="AY17" s="3">
        <v>22434.61</v>
      </c>
      <c r="BA17" s="3">
        <v>3572</v>
      </c>
      <c r="BB17" s="222">
        <v>597708.54</v>
      </c>
      <c r="BC17" s="222">
        <f t="shared" si="13"/>
        <v>594136.54</v>
      </c>
      <c r="BD17" s="32">
        <f t="shared" si="14"/>
        <v>167.33161814109744</v>
      </c>
      <c r="BF17" s="3">
        <v>2892.99</v>
      </c>
      <c r="BH17" s="3">
        <v>21023</v>
      </c>
      <c r="BI17" s="3">
        <v>0</v>
      </c>
      <c r="BJ17" s="222">
        <f t="shared" si="15"/>
        <v>-21023</v>
      </c>
      <c r="BK17" s="32">
        <f t="shared" si="16"/>
        <v>0</v>
      </c>
      <c r="BM17" s="3">
        <v>17036.650000000001</v>
      </c>
      <c r="BO17" s="3">
        <v>3701</v>
      </c>
      <c r="BP17" s="3">
        <v>0</v>
      </c>
      <c r="BQ17" s="3">
        <f t="shared" si="17"/>
        <v>-3701</v>
      </c>
      <c r="BR17" s="32">
        <f t="shared" si="18"/>
        <v>0</v>
      </c>
      <c r="BT17" s="3">
        <v>19750.37</v>
      </c>
      <c r="BV17" s="3">
        <v>3701</v>
      </c>
      <c r="BW17" s="34">
        <v>10542.98</v>
      </c>
      <c r="BX17" s="3">
        <f t="shared" si="19"/>
        <v>6841.98</v>
      </c>
      <c r="BY17" s="32">
        <f t="shared" si="20"/>
        <v>2.8486841394217777</v>
      </c>
      <c r="CA17" s="3">
        <v>453465.34</v>
      </c>
      <c r="CC17" s="3">
        <v>3704</v>
      </c>
      <c r="CD17" s="3">
        <v>11995.68</v>
      </c>
      <c r="CE17" s="3">
        <f t="shared" si="21"/>
        <v>8291.68</v>
      </c>
      <c r="CF17" s="32">
        <f t="shared" si="22"/>
        <v>3.2385745140388771</v>
      </c>
      <c r="CH17" s="3">
        <v>7604.98</v>
      </c>
      <c r="CJ17" s="225">
        <f t="shared" si="27"/>
        <v>1163637</v>
      </c>
      <c r="CK17" s="3">
        <f t="shared" si="27"/>
        <v>1538819.1300000001</v>
      </c>
      <c r="CL17" s="3">
        <f t="shared" si="23"/>
        <v>375182.13000000012</v>
      </c>
      <c r="CM17" s="32">
        <f t="shared" si="28"/>
        <v>1.3224219666442372</v>
      </c>
      <c r="CO17" s="3">
        <f t="shared" si="29"/>
        <v>1399588.98</v>
      </c>
      <c r="CQ17" s="225">
        <f t="shared" si="24"/>
        <v>1167341</v>
      </c>
      <c r="CR17" s="3">
        <f t="shared" si="24"/>
        <v>1550814.81</v>
      </c>
      <c r="CS17" s="3">
        <f t="shared" si="25"/>
        <v>383473.81000000006</v>
      </c>
      <c r="CT17" s="32">
        <f t="shared" si="26"/>
        <v>1.3285019630082384</v>
      </c>
      <c r="CV17" s="3">
        <v>1407193.96</v>
      </c>
    </row>
    <row r="18" spans="1:102" s="245" customFormat="1" ht="14.25" customHeight="1" x14ac:dyDescent="0.3">
      <c r="A18" s="234"/>
      <c r="B18" s="235" t="s">
        <v>14</v>
      </c>
      <c r="C18" s="236"/>
      <c r="D18" s="237">
        <f>D14+D12+D10+D6+D4</f>
        <v>155572536</v>
      </c>
      <c r="E18" s="237">
        <f>E14+E12+E10+E6+E4</f>
        <v>178182022.18000001</v>
      </c>
      <c r="F18" s="237">
        <f>+F4+F6+F10+F12+F14</f>
        <v>22609486.179999996</v>
      </c>
      <c r="G18" s="238">
        <f t="shared" si="1"/>
        <v>1.1453308325577467</v>
      </c>
      <c r="H18" s="236"/>
      <c r="I18" s="237">
        <v>152595523.99000001</v>
      </c>
      <c r="J18" s="236"/>
      <c r="K18" s="237">
        <f>+K4+K6+K10+K12+K14</f>
        <v>34501155</v>
      </c>
      <c r="L18" s="237">
        <f>+L4+L6+L10+L12+L14</f>
        <v>34683948.18</v>
      </c>
      <c r="M18" s="237">
        <f>+M4+M6+M10+M12+M14</f>
        <v>182793.1799999983</v>
      </c>
      <c r="N18" s="238">
        <f t="shared" si="2"/>
        <v>1.005298175669771</v>
      </c>
      <c r="O18" s="236"/>
      <c r="P18" s="237">
        <v>39458655.389999993</v>
      </c>
      <c r="Q18" s="236"/>
      <c r="R18" s="237">
        <f>+R4+R6+R10+R12+R14</f>
        <v>35710166</v>
      </c>
      <c r="S18" s="237">
        <f>+S4+S6+S10+S12+S14</f>
        <v>35872385.119999997</v>
      </c>
      <c r="T18" s="237">
        <f>+T4+T6+T10+T12+T14</f>
        <v>162219.12000000104</v>
      </c>
      <c r="U18" s="238">
        <f t="shared" si="4"/>
        <v>1.004542659364843</v>
      </c>
      <c r="V18" s="236"/>
      <c r="W18" s="237">
        <v>38884625.619999997</v>
      </c>
      <c r="X18" s="236"/>
      <c r="Y18" s="237">
        <f>+Y4+Y6+Y10+Y12+Y14</f>
        <v>42326323</v>
      </c>
      <c r="Z18" s="237">
        <f>+Z4+Z6+Z10+Z12+Z14</f>
        <v>37336327.469999999</v>
      </c>
      <c r="AA18" s="237">
        <f>+AA4+AA6+AA10+AA12+AA14</f>
        <v>-4989995.5299999984</v>
      </c>
      <c r="AB18" s="238">
        <f t="shared" si="6"/>
        <v>0.88210656687565325</v>
      </c>
      <c r="AC18" s="236"/>
      <c r="AD18" s="237">
        <v>46873892.170000002</v>
      </c>
      <c r="AE18" s="236"/>
      <c r="AF18" s="237">
        <f>+AF4+AF6+AF10+AF12+AF14</f>
        <v>45152355</v>
      </c>
      <c r="AG18" s="237">
        <f>+AG4+AG6+AG10+AG12+AG14</f>
        <v>41187507.699999988</v>
      </c>
      <c r="AH18" s="237">
        <f>+AH4+AH6+AH10+AH12+AH14</f>
        <v>-3964847.3000000063</v>
      </c>
      <c r="AI18" s="238">
        <f t="shared" si="8"/>
        <v>0.91218957903746078</v>
      </c>
      <c r="AJ18" s="236"/>
      <c r="AK18" s="237">
        <v>48223747.25</v>
      </c>
      <c r="AL18" s="240"/>
      <c r="AM18" s="237">
        <f>+AM4+AM6+AM10+AM12+AM14</f>
        <v>15231598</v>
      </c>
      <c r="AN18" s="237">
        <f>+AN4+AN6+AN10+AN12+AN14</f>
        <v>32566690.890000001</v>
      </c>
      <c r="AO18" s="237">
        <f t="shared" si="9"/>
        <v>17335092.890000001</v>
      </c>
      <c r="AP18" s="238">
        <f t="shared" si="10"/>
        <v>2.1381007357205726</v>
      </c>
      <c r="AQ18" s="236"/>
      <c r="AR18" s="237">
        <v>32983156.479999997</v>
      </c>
      <c r="AS18" s="236"/>
      <c r="AT18" s="237">
        <f>SUM(AT14+AT12+AT10+AT6+AT4)</f>
        <v>31228867</v>
      </c>
      <c r="AU18" s="237">
        <f>SUM(AU14+AU12+AU10+AU6+AU4)</f>
        <v>37178854.260000005</v>
      </c>
      <c r="AV18" s="237">
        <f>+AV4+AV6+AV10+AV12+AV14</f>
        <v>5949987.2600000035</v>
      </c>
      <c r="AW18" s="238">
        <f t="shared" si="12"/>
        <v>1.1905284383195844</v>
      </c>
      <c r="AX18" s="236"/>
      <c r="AY18" s="237">
        <v>32316922.649999999</v>
      </c>
      <c r="AZ18" s="236"/>
      <c r="BA18" s="237">
        <f>+BA4+BA6+BA10+BA12+BA14</f>
        <v>36434959</v>
      </c>
      <c r="BB18" s="237">
        <f>+BB4+BB6+BB10+BB12+BB14</f>
        <v>48718393.449999996</v>
      </c>
      <c r="BC18" s="237">
        <f>+BC4+BC6+BC10+BC12+BC14</f>
        <v>12283434.450000003</v>
      </c>
      <c r="BD18" s="238">
        <f t="shared" si="14"/>
        <v>1.3371332035806598</v>
      </c>
      <c r="BE18" s="236"/>
      <c r="BF18" s="237">
        <v>38054169.050000004</v>
      </c>
      <c r="BG18" s="236"/>
      <c r="BH18" s="237">
        <f>+BH4+BH6+BH10+BH12+BH14</f>
        <v>10078085</v>
      </c>
      <c r="BI18" s="237">
        <f>+BI4+BI6+BI10+BI12+BI14</f>
        <v>27460369.640000001</v>
      </c>
      <c r="BJ18" s="237">
        <f>+BJ4+BJ6+BJ10+BJ12+BJ14</f>
        <v>17382284.640000001</v>
      </c>
      <c r="BK18" s="238">
        <f t="shared" si="16"/>
        <v>2.7247606703059164</v>
      </c>
      <c r="BL18" s="236"/>
      <c r="BM18" s="237">
        <v>35093533.060000002</v>
      </c>
      <c r="BN18" s="236"/>
      <c r="BO18" s="237">
        <f>+BO4+BO6+BO10+BO12+BO14</f>
        <v>53877419</v>
      </c>
      <c r="BP18" s="237">
        <f>+BP4+BP6+BP10+BP12+BP14</f>
        <v>58406385.779999994</v>
      </c>
      <c r="BQ18" s="237">
        <f>+BQ4+BQ6+BQ10+BQ12+BQ14</f>
        <v>4528966.7799999993</v>
      </c>
      <c r="BR18" s="238">
        <f t="shared" si="18"/>
        <v>1.0840605742453995</v>
      </c>
      <c r="BS18" s="236"/>
      <c r="BT18" s="237">
        <v>49745076.960000001</v>
      </c>
      <c r="BU18" s="236"/>
      <c r="BV18" s="237">
        <f>+BV4+BV6+BV10+BV12+BV14</f>
        <v>40969047</v>
      </c>
      <c r="BW18" s="237">
        <f>BW14+BW12+BW10+BW6+BW4</f>
        <v>51004138.370000005</v>
      </c>
      <c r="BX18" s="237">
        <f>+BX4+BX6+BX10+BX12+BX14</f>
        <v>10035091.370000005</v>
      </c>
      <c r="BY18" s="238">
        <f t="shared" si="20"/>
        <v>1.2449432463000667</v>
      </c>
      <c r="BZ18" s="236"/>
      <c r="CA18" s="237">
        <v>37242252.710000001</v>
      </c>
      <c r="CB18" s="236"/>
      <c r="CC18" s="237">
        <f>+CC4+CC6+CC10+CC12+CC14</f>
        <v>38897469</v>
      </c>
      <c r="CD18" s="237">
        <v>44575458.380000003</v>
      </c>
      <c r="CE18" s="237">
        <f>+CE4+CE6+CE10+CE12+CE14</f>
        <v>5677989.3800000008</v>
      </c>
      <c r="CF18" s="238">
        <f t="shared" si="22"/>
        <v>1.1459732349166472</v>
      </c>
      <c r="CG18" s="236"/>
      <c r="CH18" s="237">
        <v>45560596.219999999</v>
      </c>
      <c r="CI18" s="236"/>
      <c r="CJ18" s="237">
        <f t="shared" si="27"/>
        <v>501082510</v>
      </c>
      <c r="CK18" s="237">
        <f t="shared" si="27"/>
        <v>582597023.03999996</v>
      </c>
      <c r="CL18" s="237">
        <f t="shared" si="23"/>
        <v>81514513.039999962</v>
      </c>
      <c r="CM18" s="238">
        <f t="shared" si="28"/>
        <v>1.1626768274949368</v>
      </c>
      <c r="CN18" s="236"/>
      <c r="CO18" s="237">
        <f t="shared" si="29"/>
        <v>551471555.33000004</v>
      </c>
      <c r="CP18" s="236"/>
      <c r="CQ18" s="237">
        <f t="shared" si="24"/>
        <v>539979979</v>
      </c>
      <c r="CR18" s="237">
        <f t="shared" si="24"/>
        <v>627172481.41999996</v>
      </c>
      <c r="CS18" s="237">
        <f>+CS4+CS6+CS10+CS12+CS14</f>
        <v>87192502.419999927</v>
      </c>
      <c r="CT18" s="238">
        <f t="shared" si="26"/>
        <v>1.1614735838567081</v>
      </c>
      <c r="CU18" s="236"/>
      <c r="CV18" s="237">
        <v>597032151.55000007</v>
      </c>
      <c r="CW18" s="236"/>
      <c r="CX18" s="243"/>
    </row>
    <row r="19" spans="1:102" s="26" customFormat="1" ht="16.5" customHeight="1" x14ac:dyDescent="0.3">
      <c r="A19" s="35"/>
      <c r="B19" s="36" t="s">
        <v>15</v>
      </c>
      <c r="D19" s="5"/>
      <c r="E19" s="5"/>
      <c r="F19" s="5"/>
      <c r="G19" s="37"/>
      <c r="I19" s="5">
        <v>0</v>
      </c>
      <c r="J19" s="218"/>
      <c r="K19" s="42"/>
      <c r="L19" s="227"/>
      <c r="M19" s="5"/>
      <c r="N19" s="37">
        <f t="shared" si="2"/>
        <v>0</v>
      </c>
      <c r="P19" s="5">
        <v>0</v>
      </c>
      <c r="R19" s="5">
        <v>0</v>
      </c>
      <c r="S19" s="4">
        <v>0</v>
      </c>
      <c r="T19" s="5">
        <f>S19-R19</f>
        <v>0</v>
      </c>
      <c r="U19" s="37">
        <f t="shared" si="4"/>
        <v>0</v>
      </c>
      <c r="W19" s="5">
        <v>0</v>
      </c>
      <c r="Y19" s="5"/>
      <c r="Z19" s="246"/>
      <c r="AA19" s="5">
        <f>Z19-Y19</f>
        <v>0</v>
      </c>
      <c r="AB19" s="37">
        <f>+AB20+AB21</f>
        <v>0</v>
      </c>
      <c r="AD19" s="5">
        <v>0</v>
      </c>
      <c r="AF19" s="5"/>
      <c r="AG19" s="5"/>
      <c r="AH19" s="5"/>
      <c r="AI19" s="37"/>
      <c r="AK19" s="5">
        <v>155000</v>
      </c>
      <c r="AM19" s="5"/>
      <c r="AN19" s="227"/>
      <c r="AO19" s="5"/>
      <c r="AP19" s="37"/>
      <c r="AR19" s="5">
        <v>-155000</v>
      </c>
      <c r="AT19" s="2">
        <f>SUM(AT20:AT21)</f>
        <v>0</v>
      </c>
      <c r="AU19" s="2">
        <f>SUM(AU20:AU21)</f>
        <v>0</v>
      </c>
      <c r="AV19" s="5">
        <f>AU19-AT19</f>
        <v>0</v>
      </c>
      <c r="AW19" s="37">
        <f t="shared" si="12"/>
        <v>0</v>
      </c>
      <c r="AY19" s="5">
        <v>0</v>
      </c>
      <c r="BA19" s="5"/>
      <c r="BB19" s="227"/>
      <c r="BC19" s="227"/>
      <c r="BD19" s="37"/>
      <c r="BF19" s="5"/>
      <c r="BH19" s="5"/>
      <c r="BI19" s="227"/>
      <c r="BJ19" s="227">
        <f>BI19-BH19</f>
        <v>0</v>
      </c>
      <c r="BK19" s="37">
        <f t="shared" si="16"/>
        <v>0</v>
      </c>
      <c r="BM19" s="5"/>
      <c r="BN19" s="247"/>
      <c r="BO19" s="5"/>
      <c r="BP19" s="5"/>
      <c r="BQ19" s="5">
        <f t="shared" ref="BQ19:BQ24" si="31">BP19-BO19</f>
        <v>0</v>
      </c>
      <c r="BR19" s="37">
        <f t="shared" si="18"/>
        <v>0</v>
      </c>
      <c r="BT19" s="5">
        <v>0</v>
      </c>
      <c r="BV19" s="5"/>
      <c r="BW19" s="43"/>
      <c r="BX19" s="5">
        <f>BW19-BV19</f>
        <v>0</v>
      </c>
      <c r="BY19" s="37">
        <f t="shared" si="20"/>
        <v>0</v>
      </c>
      <c r="CA19" s="4">
        <v>0</v>
      </c>
      <c r="CC19" s="9"/>
      <c r="CD19" s="5"/>
      <c r="CE19" s="5">
        <f>CD19-CC19</f>
        <v>0</v>
      </c>
      <c r="CF19" s="37">
        <f t="shared" si="22"/>
        <v>0</v>
      </c>
      <c r="CH19" s="4">
        <v>0</v>
      </c>
      <c r="CJ19" s="228">
        <f t="shared" si="27"/>
        <v>0</v>
      </c>
      <c r="CK19" s="5">
        <f t="shared" si="27"/>
        <v>0</v>
      </c>
      <c r="CL19" s="5">
        <f t="shared" si="23"/>
        <v>0</v>
      </c>
      <c r="CM19" s="37">
        <f t="shared" si="28"/>
        <v>0</v>
      </c>
      <c r="CO19" s="4">
        <f t="shared" si="29"/>
        <v>0</v>
      </c>
      <c r="CQ19" s="228">
        <f t="shared" si="24"/>
        <v>0</v>
      </c>
      <c r="CR19" s="5">
        <f t="shared" si="24"/>
        <v>0</v>
      </c>
      <c r="CS19" s="5">
        <f>CR19-CQ19</f>
        <v>0</v>
      </c>
      <c r="CT19" s="37">
        <f t="shared" si="26"/>
        <v>0</v>
      </c>
      <c r="CV19" s="4">
        <v>0</v>
      </c>
    </row>
    <row r="20" spans="1:102" s="31" customFormat="1" ht="16.5" customHeight="1" x14ac:dyDescent="0.3">
      <c r="A20" s="29">
        <v>19</v>
      </c>
      <c r="B20" s="30" t="s">
        <v>16</v>
      </c>
      <c r="D20" s="3">
        <v>0</v>
      </c>
      <c r="E20" s="3">
        <v>21841.599999999999</v>
      </c>
      <c r="F20" s="3">
        <f>E20-D20</f>
        <v>21841.599999999999</v>
      </c>
      <c r="G20" s="32">
        <f t="shared" si="1"/>
        <v>0</v>
      </c>
      <c r="I20" s="3">
        <v>0</v>
      </c>
      <c r="J20" s="221"/>
      <c r="K20" s="33">
        <v>0</v>
      </c>
      <c r="L20" s="222">
        <v>-21841.599999999999</v>
      </c>
      <c r="M20" s="3">
        <f>L20-K20</f>
        <v>-21841.599999999999</v>
      </c>
      <c r="N20" s="32">
        <f>IFERROR(L20/K20,0)</f>
        <v>0</v>
      </c>
      <c r="P20" s="3">
        <v>0</v>
      </c>
      <c r="R20" s="3">
        <v>0</v>
      </c>
      <c r="S20" s="3">
        <v>0</v>
      </c>
      <c r="T20" s="3">
        <f>S20-R20</f>
        <v>0</v>
      </c>
      <c r="U20" s="32">
        <f t="shared" si="4"/>
        <v>0</v>
      </c>
      <c r="W20" s="3">
        <v>0</v>
      </c>
      <c r="Y20" s="3">
        <v>0</v>
      </c>
      <c r="Z20" s="3">
        <v>0</v>
      </c>
      <c r="AA20" s="3">
        <f>Z20-Y20</f>
        <v>0</v>
      </c>
      <c r="AB20" s="32"/>
      <c r="AD20" s="3">
        <v>0</v>
      </c>
      <c r="AF20" s="3">
        <v>0</v>
      </c>
      <c r="AG20" s="3">
        <v>0</v>
      </c>
      <c r="AH20" s="3">
        <f>AG20-AF20</f>
        <v>0</v>
      </c>
      <c r="AI20" s="32">
        <f t="shared" si="8"/>
        <v>0</v>
      </c>
      <c r="AK20" s="3">
        <v>155000</v>
      </c>
      <c r="AM20" s="3">
        <v>0</v>
      </c>
      <c r="AN20" s="3">
        <v>0</v>
      </c>
      <c r="AO20" s="3">
        <f>AN20-AM20</f>
        <v>0</v>
      </c>
      <c r="AP20" s="32">
        <f t="shared" si="10"/>
        <v>0</v>
      </c>
      <c r="AR20" s="3">
        <v>-155000</v>
      </c>
      <c r="AT20" s="3">
        <v>0</v>
      </c>
      <c r="AU20" s="3">
        <v>0</v>
      </c>
      <c r="AV20" s="3">
        <f>AU20-AT20</f>
        <v>0</v>
      </c>
      <c r="AW20" s="32">
        <f t="shared" si="12"/>
        <v>0</v>
      </c>
      <c r="AY20" s="3">
        <v>0</v>
      </c>
      <c r="BA20" s="3">
        <v>0</v>
      </c>
      <c r="BB20" s="3">
        <v>0</v>
      </c>
      <c r="BC20" s="3">
        <f>BB20-BA20</f>
        <v>0</v>
      </c>
      <c r="BD20" s="32">
        <f t="shared" si="14"/>
        <v>0</v>
      </c>
      <c r="BF20" s="3">
        <v>0</v>
      </c>
      <c r="BH20" s="3">
        <v>0</v>
      </c>
      <c r="BI20" s="3">
        <v>0</v>
      </c>
      <c r="BJ20" s="222">
        <f>BI20-BH20</f>
        <v>0</v>
      </c>
      <c r="BK20" s="32">
        <f t="shared" si="16"/>
        <v>0</v>
      </c>
      <c r="BM20" s="3">
        <v>0</v>
      </c>
      <c r="BO20" s="3">
        <v>0</v>
      </c>
      <c r="BP20" s="3">
        <v>0</v>
      </c>
      <c r="BQ20" s="3">
        <f t="shared" si="31"/>
        <v>0</v>
      </c>
      <c r="BR20" s="32">
        <f t="shared" si="18"/>
        <v>0</v>
      </c>
      <c r="BT20" s="3">
        <v>0</v>
      </c>
      <c r="BV20" s="3">
        <v>0</v>
      </c>
      <c r="BW20" s="34">
        <v>0</v>
      </c>
      <c r="BX20" s="3">
        <f>BW20-BV20</f>
        <v>0</v>
      </c>
      <c r="BY20" s="32">
        <f t="shared" si="20"/>
        <v>0</v>
      </c>
      <c r="CA20" s="3">
        <v>0</v>
      </c>
      <c r="CC20" s="3">
        <v>0</v>
      </c>
      <c r="CD20" s="3">
        <v>0</v>
      </c>
      <c r="CE20" s="3">
        <f>CD20-CC20</f>
        <v>0</v>
      </c>
      <c r="CF20" s="32">
        <f t="shared" si="22"/>
        <v>0</v>
      </c>
      <c r="CH20" s="3">
        <v>0</v>
      </c>
      <c r="CJ20" s="225">
        <f t="shared" si="27"/>
        <v>0</v>
      </c>
      <c r="CK20" s="3">
        <f t="shared" si="27"/>
        <v>0</v>
      </c>
      <c r="CL20" s="3">
        <f t="shared" si="23"/>
        <v>0</v>
      </c>
      <c r="CM20" s="32">
        <f t="shared" si="28"/>
        <v>0</v>
      </c>
      <c r="CO20" s="3">
        <f t="shared" si="29"/>
        <v>0</v>
      </c>
      <c r="CQ20" s="225">
        <f t="shared" si="24"/>
        <v>0</v>
      </c>
      <c r="CR20" s="3">
        <f t="shared" si="24"/>
        <v>0</v>
      </c>
      <c r="CS20" s="3">
        <f>CR20-CQ20</f>
        <v>0</v>
      </c>
      <c r="CT20" s="32">
        <f t="shared" si="26"/>
        <v>0</v>
      </c>
      <c r="CV20" s="3">
        <v>0</v>
      </c>
    </row>
    <row r="21" spans="1:102" s="31" customFormat="1" ht="16.5" customHeight="1" x14ac:dyDescent="0.3">
      <c r="A21" s="29">
        <v>20</v>
      </c>
      <c r="B21" s="30" t="s">
        <v>17</v>
      </c>
      <c r="D21" s="3">
        <v>0</v>
      </c>
      <c r="E21" s="3">
        <v>0</v>
      </c>
      <c r="F21" s="3">
        <f>E21-D21</f>
        <v>0</v>
      </c>
      <c r="G21" s="32">
        <f t="shared" si="1"/>
        <v>0</v>
      </c>
      <c r="I21" s="3">
        <v>0</v>
      </c>
      <c r="J21" s="221"/>
      <c r="K21" s="33">
        <v>0</v>
      </c>
      <c r="L21" s="3">
        <v>0</v>
      </c>
      <c r="M21" s="3">
        <f>L21-K21</f>
        <v>0</v>
      </c>
      <c r="N21" s="32">
        <f t="shared" si="2"/>
        <v>0</v>
      </c>
      <c r="P21" s="3">
        <v>0</v>
      </c>
      <c r="R21" s="3">
        <v>0</v>
      </c>
      <c r="S21" s="3">
        <v>0</v>
      </c>
      <c r="T21" s="3">
        <f>S21-R21</f>
        <v>0</v>
      </c>
      <c r="U21" s="32">
        <f t="shared" si="4"/>
        <v>0</v>
      </c>
      <c r="W21" s="3">
        <v>0</v>
      </c>
      <c r="Y21" s="3">
        <v>0</v>
      </c>
      <c r="Z21" s="3">
        <v>0</v>
      </c>
      <c r="AA21" s="3">
        <f>Z21-Y21</f>
        <v>0</v>
      </c>
      <c r="AB21" s="32"/>
      <c r="AD21" s="3">
        <v>0</v>
      </c>
      <c r="AF21" s="3">
        <v>0</v>
      </c>
      <c r="AG21" s="3">
        <v>0</v>
      </c>
      <c r="AH21" s="3">
        <f>AG21-AF21</f>
        <v>0</v>
      </c>
      <c r="AI21" s="32">
        <f t="shared" si="8"/>
        <v>0</v>
      </c>
      <c r="AK21" s="3">
        <v>0</v>
      </c>
      <c r="AM21" s="3">
        <v>0</v>
      </c>
      <c r="AN21" s="3">
        <v>0</v>
      </c>
      <c r="AO21" s="3">
        <f>AN21-AM21</f>
        <v>0</v>
      </c>
      <c r="AP21" s="32">
        <f t="shared" si="10"/>
        <v>0</v>
      </c>
      <c r="AR21" s="3">
        <v>0</v>
      </c>
      <c r="AT21" s="3">
        <v>0</v>
      </c>
      <c r="AU21" s="3">
        <v>0</v>
      </c>
      <c r="AV21" s="3">
        <f>AU21-AT21</f>
        <v>0</v>
      </c>
      <c r="AW21" s="32">
        <f t="shared" si="12"/>
        <v>0</v>
      </c>
      <c r="AY21" s="3">
        <v>0</v>
      </c>
      <c r="BA21" s="3">
        <v>0</v>
      </c>
      <c r="BB21" s="3">
        <v>0</v>
      </c>
      <c r="BC21" s="3">
        <f>BB21-BA21</f>
        <v>0</v>
      </c>
      <c r="BD21" s="32">
        <f t="shared" si="14"/>
        <v>0</v>
      </c>
      <c r="BF21" s="3">
        <v>0</v>
      </c>
      <c r="BH21" s="3">
        <v>0</v>
      </c>
      <c r="BI21" s="3">
        <v>0</v>
      </c>
      <c r="BJ21" s="222">
        <f>BI21-BH21</f>
        <v>0</v>
      </c>
      <c r="BK21" s="32">
        <f t="shared" si="16"/>
        <v>0</v>
      </c>
      <c r="BM21" s="3">
        <v>0</v>
      </c>
      <c r="BO21" s="3">
        <v>0</v>
      </c>
      <c r="BP21" s="3">
        <v>0</v>
      </c>
      <c r="BQ21" s="3">
        <f t="shared" si="31"/>
        <v>0</v>
      </c>
      <c r="BR21" s="32">
        <f t="shared" si="18"/>
        <v>0</v>
      </c>
      <c r="BT21" s="3">
        <v>0</v>
      </c>
      <c r="BV21" s="3">
        <v>0</v>
      </c>
      <c r="BW21" s="34">
        <v>0</v>
      </c>
      <c r="BX21" s="3">
        <f>BW21-BV21</f>
        <v>0</v>
      </c>
      <c r="BY21" s="32">
        <f t="shared" si="20"/>
        <v>0</v>
      </c>
      <c r="CA21" s="3"/>
      <c r="CC21" s="3">
        <v>0</v>
      </c>
      <c r="CD21" s="3">
        <v>0</v>
      </c>
      <c r="CE21" s="3">
        <f>CD21-CC21</f>
        <v>0</v>
      </c>
      <c r="CF21" s="32">
        <f t="shared" si="22"/>
        <v>0</v>
      </c>
      <c r="CH21" s="3"/>
      <c r="CJ21" s="225">
        <f t="shared" si="27"/>
        <v>0</v>
      </c>
      <c r="CK21" s="3">
        <f t="shared" si="27"/>
        <v>0</v>
      </c>
      <c r="CL21" s="3">
        <f t="shared" si="23"/>
        <v>0</v>
      </c>
      <c r="CM21" s="32">
        <f t="shared" si="28"/>
        <v>0</v>
      </c>
      <c r="CO21" s="3">
        <f t="shared" si="29"/>
        <v>0</v>
      </c>
      <c r="CQ21" s="225">
        <f t="shared" si="24"/>
        <v>0</v>
      </c>
      <c r="CR21" s="3">
        <f t="shared" si="24"/>
        <v>0</v>
      </c>
      <c r="CS21" s="3">
        <f>CR21-CQ21</f>
        <v>0</v>
      </c>
      <c r="CT21" s="32">
        <f t="shared" si="26"/>
        <v>0</v>
      </c>
      <c r="CV21" s="3">
        <v>0</v>
      </c>
    </row>
    <row r="22" spans="1:102" s="245" customFormat="1" ht="14.25" customHeight="1" x14ac:dyDescent="0.3">
      <c r="A22" s="234"/>
      <c r="B22" s="235" t="s">
        <v>18</v>
      </c>
      <c r="C22" s="236"/>
      <c r="D22" s="237">
        <v>0</v>
      </c>
      <c r="E22" s="237">
        <f>E20+E21</f>
        <v>21841.599999999999</v>
      </c>
      <c r="F22" s="237">
        <f>+F20+F21</f>
        <v>21841.599999999999</v>
      </c>
      <c r="G22" s="238">
        <f t="shared" si="1"/>
        <v>0</v>
      </c>
      <c r="H22" s="236"/>
      <c r="I22" s="237">
        <v>0</v>
      </c>
      <c r="J22" s="236"/>
      <c r="K22" s="237">
        <f>+K20+K21</f>
        <v>0</v>
      </c>
      <c r="L22" s="237">
        <f>SUM(L20:L21)</f>
        <v>-21841.599999999999</v>
      </c>
      <c r="M22" s="237">
        <f>L22-K22</f>
        <v>-21841.599999999999</v>
      </c>
      <c r="N22" s="238">
        <f t="shared" si="2"/>
        <v>0</v>
      </c>
      <c r="O22" s="236"/>
      <c r="P22" s="237">
        <v>0</v>
      </c>
      <c r="Q22" s="236"/>
      <c r="R22" s="237">
        <f>+R20+R21</f>
        <v>0</v>
      </c>
      <c r="S22" s="237">
        <f>+S20+S21</f>
        <v>0</v>
      </c>
      <c r="T22" s="237">
        <f>+T20+T21</f>
        <v>0</v>
      </c>
      <c r="U22" s="238">
        <f t="shared" si="4"/>
        <v>0</v>
      </c>
      <c r="V22" s="236"/>
      <c r="W22" s="237">
        <v>0</v>
      </c>
      <c r="X22" s="236"/>
      <c r="Y22" s="237">
        <f>+Y20+Y21</f>
        <v>0</v>
      </c>
      <c r="Z22" s="237">
        <f>+Z20+Z21</f>
        <v>0</v>
      </c>
      <c r="AA22" s="237">
        <f>+AA20+AA21</f>
        <v>0</v>
      </c>
      <c r="AB22" s="238">
        <f t="shared" ref="AB22:AB50" si="32">IFERROR(Z22/Y22,0)</f>
        <v>0</v>
      </c>
      <c r="AC22" s="236"/>
      <c r="AD22" s="237">
        <v>0</v>
      </c>
      <c r="AE22" s="236"/>
      <c r="AF22" s="237">
        <f>SUM(AF19)</f>
        <v>0</v>
      </c>
      <c r="AG22" s="237">
        <f>+AG20+AG21</f>
        <v>0</v>
      </c>
      <c r="AH22" s="237">
        <f>+AH20+AH21</f>
        <v>0</v>
      </c>
      <c r="AI22" s="238">
        <f t="shared" si="8"/>
        <v>0</v>
      </c>
      <c r="AJ22" s="236"/>
      <c r="AK22" s="237">
        <v>155000</v>
      </c>
      <c r="AL22" s="240"/>
      <c r="AM22" s="237">
        <f>SUM(AM19)</f>
        <v>0</v>
      </c>
      <c r="AN22" s="237">
        <f>SUM(AN19)</f>
        <v>0</v>
      </c>
      <c r="AO22" s="237">
        <f t="shared" si="9"/>
        <v>0</v>
      </c>
      <c r="AP22" s="238">
        <f t="shared" si="10"/>
        <v>0</v>
      </c>
      <c r="AQ22" s="236"/>
      <c r="AR22" s="237">
        <v>-155000</v>
      </c>
      <c r="AS22" s="236"/>
      <c r="AT22" s="237">
        <f>SUM(AT19)</f>
        <v>0</v>
      </c>
      <c r="AU22" s="237">
        <f>SUM(AU19)</f>
        <v>0</v>
      </c>
      <c r="AV22" s="237">
        <f>SUM(AV19)</f>
        <v>0</v>
      </c>
      <c r="AW22" s="238">
        <f t="shared" si="12"/>
        <v>0</v>
      </c>
      <c r="AX22" s="236"/>
      <c r="AY22" s="237">
        <v>0</v>
      </c>
      <c r="AZ22" s="236"/>
      <c r="BA22" s="237">
        <f>SUM(BA19)</f>
        <v>0</v>
      </c>
      <c r="BB22" s="237">
        <f>SUM(BB19)</f>
        <v>0</v>
      </c>
      <c r="BC22" s="237">
        <f>BB22-BA22</f>
        <v>0</v>
      </c>
      <c r="BD22" s="238">
        <f t="shared" si="14"/>
        <v>0</v>
      </c>
      <c r="BE22" s="236"/>
      <c r="BF22" s="237">
        <v>0</v>
      </c>
      <c r="BG22" s="236"/>
      <c r="BH22" s="237">
        <f>SUM(BH19)</f>
        <v>0</v>
      </c>
      <c r="BI22" s="237">
        <f>SUM(BI19)</f>
        <v>0</v>
      </c>
      <c r="BJ22" s="237">
        <f>+BJ20+BJ21</f>
        <v>0</v>
      </c>
      <c r="BK22" s="238">
        <f t="shared" si="16"/>
        <v>0</v>
      </c>
      <c r="BL22" s="236"/>
      <c r="BM22" s="237">
        <v>0</v>
      </c>
      <c r="BN22" s="236"/>
      <c r="BO22" s="237">
        <f>SUM(BO19)</f>
        <v>0</v>
      </c>
      <c r="BP22" s="237">
        <v>0</v>
      </c>
      <c r="BQ22" s="237">
        <f t="shared" si="31"/>
        <v>0</v>
      </c>
      <c r="BR22" s="238">
        <f t="shared" si="18"/>
        <v>0</v>
      </c>
      <c r="BS22" s="236"/>
      <c r="BT22" s="237">
        <v>0</v>
      </c>
      <c r="BU22" s="236"/>
      <c r="BV22" s="237">
        <f>SUM(BV19)</f>
        <v>0</v>
      </c>
      <c r="BW22" s="237">
        <v>0</v>
      </c>
      <c r="BX22" s="237">
        <f>SUM(BX19)</f>
        <v>0</v>
      </c>
      <c r="BY22" s="238">
        <f t="shared" si="20"/>
        <v>0</v>
      </c>
      <c r="BZ22" s="236"/>
      <c r="CA22" s="237">
        <v>0</v>
      </c>
      <c r="CB22" s="236"/>
      <c r="CC22" s="237">
        <f>SUM(CC19)</f>
        <v>0</v>
      </c>
      <c r="CD22" s="237">
        <v>0</v>
      </c>
      <c r="CE22" s="237">
        <f>SUM(CE19)</f>
        <v>0</v>
      </c>
      <c r="CF22" s="238">
        <f t="shared" si="22"/>
        <v>0</v>
      </c>
      <c r="CG22" s="236"/>
      <c r="CH22" s="237">
        <v>0</v>
      </c>
      <c r="CI22" s="236"/>
      <c r="CJ22" s="237">
        <f t="shared" si="27"/>
        <v>0</v>
      </c>
      <c r="CK22" s="237">
        <f t="shared" si="27"/>
        <v>0</v>
      </c>
      <c r="CL22" s="237">
        <f t="shared" si="23"/>
        <v>0</v>
      </c>
      <c r="CM22" s="238">
        <f t="shared" si="28"/>
        <v>0</v>
      </c>
      <c r="CN22" s="236"/>
      <c r="CO22" s="237">
        <f t="shared" si="29"/>
        <v>0</v>
      </c>
      <c r="CP22" s="236"/>
      <c r="CQ22" s="237">
        <f t="shared" si="24"/>
        <v>0</v>
      </c>
      <c r="CR22" s="237">
        <f t="shared" si="24"/>
        <v>0</v>
      </c>
      <c r="CS22" s="237">
        <f>+CS20+CS21</f>
        <v>0</v>
      </c>
      <c r="CT22" s="238">
        <f t="shared" si="26"/>
        <v>0</v>
      </c>
      <c r="CU22" s="236"/>
      <c r="CV22" s="237">
        <v>0</v>
      </c>
      <c r="CW22" s="236"/>
      <c r="CX22" s="243"/>
    </row>
    <row r="23" spans="1:102" s="26" customFormat="1" x14ac:dyDescent="0.3">
      <c r="A23" s="35"/>
      <c r="B23" s="248" t="s">
        <v>19</v>
      </c>
      <c r="D23" s="5">
        <v>286415</v>
      </c>
      <c r="E23" s="5">
        <f>E24</f>
        <v>292681.42</v>
      </c>
      <c r="F23" s="4">
        <f>E23-D23</f>
        <v>6266.4199999999837</v>
      </c>
      <c r="G23" s="37">
        <f t="shared" si="1"/>
        <v>1.0218788122130475</v>
      </c>
      <c r="I23" s="5">
        <v>249585.67</v>
      </c>
      <c r="J23" s="218"/>
      <c r="K23" s="42">
        <v>261621</v>
      </c>
      <c r="L23" s="227">
        <f>L24</f>
        <v>225409.73</v>
      </c>
      <c r="M23" s="5">
        <f>L23-K23</f>
        <v>-36211.26999999999</v>
      </c>
      <c r="N23" s="37">
        <f t="shared" si="2"/>
        <v>0.86158882505609258</v>
      </c>
      <c r="P23" s="5">
        <v>227981.1</v>
      </c>
      <c r="R23" s="5">
        <v>271790</v>
      </c>
      <c r="S23" s="227">
        <f>S24</f>
        <v>214446.14</v>
      </c>
      <c r="T23" s="5">
        <f>S23-R23</f>
        <v>-57343.859999999986</v>
      </c>
      <c r="U23" s="37">
        <f t="shared" si="4"/>
        <v>0.7890140917620222</v>
      </c>
      <c r="W23" s="5">
        <v>236842.68</v>
      </c>
      <c r="Y23" s="5">
        <v>221192</v>
      </c>
      <c r="Z23" s="227">
        <f>Z24</f>
        <v>225592.28</v>
      </c>
      <c r="AA23" s="5">
        <f>Z23-Y23</f>
        <v>4400.2799999999988</v>
      </c>
      <c r="AB23" s="37">
        <f t="shared" si="32"/>
        <v>1.0198934862020326</v>
      </c>
      <c r="AD23" s="5">
        <v>133419.43</v>
      </c>
      <c r="AF23" s="5">
        <v>345315</v>
      </c>
      <c r="AG23" s="5">
        <f>AG24</f>
        <v>187018.89</v>
      </c>
      <c r="AH23" s="5">
        <f>AG23-AF23</f>
        <v>-158296.10999999999</v>
      </c>
      <c r="AI23" s="37">
        <f t="shared" si="8"/>
        <v>0.54158924460275404</v>
      </c>
      <c r="AK23" s="5">
        <v>241582.29</v>
      </c>
      <c r="AM23" s="5">
        <v>58092</v>
      </c>
      <c r="AN23" s="227">
        <f>AN24</f>
        <v>155120.41</v>
      </c>
      <c r="AO23" s="5">
        <f t="shared" si="9"/>
        <v>97028.41</v>
      </c>
      <c r="AP23" s="37">
        <f t="shared" si="10"/>
        <v>2.6702542518763344</v>
      </c>
      <c r="AR23" s="5">
        <v>177988.59</v>
      </c>
      <c r="AT23" s="2">
        <v>285828</v>
      </c>
      <c r="AU23" s="2">
        <f>AU24</f>
        <v>237620.02</v>
      </c>
      <c r="AV23" s="5">
        <f>AU23-AT23</f>
        <v>-48207.98000000001</v>
      </c>
      <c r="AW23" s="37">
        <f t="shared" si="12"/>
        <v>0.83133919699959413</v>
      </c>
      <c r="AY23" s="5">
        <v>247333.07</v>
      </c>
      <c r="BA23" s="5">
        <v>200604</v>
      </c>
      <c r="BB23" s="227">
        <f>BB24</f>
        <v>186915.97</v>
      </c>
      <c r="BC23" s="227">
        <f>BB23-BA23</f>
        <v>-13688.029999999999</v>
      </c>
      <c r="BD23" s="37">
        <f t="shared" si="14"/>
        <v>0.93176591693086874</v>
      </c>
      <c r="BF23" s="5">
        <v>165889.69</v>
      </c>
      <c r="BH23" s="4">
        <v>40641</v>
      </c>
      <c r="BI23" s="227">
        <f>BI24</f>
        <v>100775.39</v>
      </c>
      <c r="BJ23" s="227">
        <f>BI23-BH23</f>
        <v>60134.39</v>
      </c>
      <c r="BK23" s="37">
        <f t="shared" si="16"/>
        <v>2.4796483846362047</v>
      </c>
      <c r="BM23" s="5">
        <v>142519.67000000001</v>
      </c>
      <c r="BO23" s="5">
        <v>185791</v>
      </c>
      <c r="BP23" s="5">
        <f>BP24</f>
        <v>273093.28999999998</v>
      </c>
      <c r="BQ23" s="5">
        <f t="shared" si="31"/>
        <v>87302.289999999979</v>
      </c>
      <c r="BR23" s="37">
        <f t="shared" si="18"/>
        <v>1.4698951510030087</v>
      </c>
      <c r="BT23" s="5">
        <v>179663.05</v>
      </c>
      <c r="BV23" s="5">
        <v>146855</v>
      </c>
      <c r="BW23" s="5">
        <f>BW24</f>
        <v>133076</v>
      </c>
      <c r="BX23" s="5">
        <f>BW23-BV23</f>
        <v>-13779</v>
      </c>
      <c r="BY23" s="37">
        <f t="shared" si="20"/>
        <v>0.90617275543903852</v>
      </c>
      <c r="CA23" s="4">
        <v>155285.35</v>
      </c>
      <c r="CC23" s="4">
        <v>157663</v>
      </c>
      <c r="CD23" s="5">
        <v>107691.34</v>
      </c>
      <c r="CE23" s="5">
        <f>CD23-CC23</f>
        <v>-49971.66</v>
      </c>
      <c r="CF23" s="37">
        <f t="shared" si="22"/>
        <v>0.68304763958569858</v>
      </c>
      <c r="CH23" s="4">
        <v>125561.9</v>
      </c>
      <c r="CJ23" s="228">
        <f t="shared" si="27"/>
        <v>2304144</v>
      </c>
      <c r="CK23" s="5">
        <f t="shared" si="27"/>
        <v>2231749.5399999996</v>
      </c>
      <c r="CL23" s="5">
        <f t="shared" si="23"/>
        <v>-72394.460000000428</v>
      </c>
      <c r="CM23" s="37">
        <f t="shared" si="28"/>
        <v>0.96858075710545855</v>
      </c>
      <c r="CO23" s="4">
        <f t="shared" si="29"/>
        <v>2158090.59</v>
      </c>
      <c r="CQ23" s="228">
        <f t="shared" si="24"/>
        <v>2461807</v>
      </c>
      <c r="CR23" s="5">
        <f t="shared" si="24"/>
        <v>2339440.8799999994</v>
      </c>
      <c r="CS23" s="5">
        <f t="shared" ref="CS23:CS44" si="33">+F23+M23+T23+AA23+AH23+AO23+AV23+BC23+BJ23+BQ23+BX23</f>
        <v>-72394.460000000021</v>
      </c>
      <c r="CT23" s="37">
        <f t="shared" si="26"/>
        <v>0.95029418634360829</v>
      </c>
      <c r="CV23" s="4">
        <v>2283652.4899999998</v>
      </c>
    </row>
    <row r="24" spans="1:102" s="31" customFormat="1" ht="16.5" customHeight="1" x14ac:dyDescent="0.3">
      <c r="A24" s="29">
        <v>21</v>
      </c>
      <c r="B24" s="30" t="s">
        <v>20</v>
      </c>
      <c r="D24" s="3">
        <v>286415</v>
      </c>
      <c r="E24" s="3">
        <v>292681.42</v>
      </c>
      <c r="F24" s="3">
        <f>E24-D24</f>
        <v>6266.4199999999837</v>
      </c>
      <c r="G24" s="32">
        <f t="shared" si="1"/>
        <v>1.0218788122130475</v>
      </c>
      <c r="I24" s="3">
        <v>249585.67</v>
      </c>
      <c r="J24" s="221"/>
      <c r="K24" s="33">
        <v>261621</v>
      </c>
      <c r="L24" s="222">
        <v>225409.73</v>
      </c>
      <c r="M24" s="3">
        <f>L24-K24</f>
        <v>-36211.26999999999</v>
      </c>
      <c r="N24" s="32">
        <f t="shared" si="2"/>
        <v>0.86158882505609258</v>
      </c>
      <c r="P24" s="3">
        <v>227981.1</v>
      </c>
      <c r="R24" s="3">
        <v>271790</v>
      </c>
      <c r="S24" s="223">
        <v>214446.14</v>
      </c>
      <c r="T24" s="3">
        <f>S24-R24</f>
        <v>-57343.859999999986</v>
      </c>
      <c r="U24" s="32">
        <f t="shared" si="4"/>
        <v>0.7890140917620222</v>
      </c>
      <c r="W24" s="3">
        <v>236842.68</v>
      </c>
      <c r="Y24" s="3">
        <v>221192</v>
      </c>
      <c r="Z24" s="223">
        <v>225592.28</v>
      </c>
      <c r="AA24" s="3">
        <f>Z24-Y24</f>
        <v>4400.2799999999988</v>
      </c>
      <c r="AB24" s="32">
        <f t="shared" si="32"/>
        <v>1.0198934862020326</v>
      </c>
      <c r="AD24" s="3">
        <v>133419.43</v>
      </c>
      <c r="AF24" s="3">
        <v>345315</v>
      </c>
      <c r="AG24" s="3">
        <v>187018.89</v>
      </c>
      <c r="AH24" s="3">
        <f>AG24-AF24</f>
        <v>-158296.10999999999</v>
      </c>
      <c r="AI24" s="32">
        <f t="shared" si="8"/>
        <v>0.54158924460275404</v>
      </c>
      <c r="AK24" s="3">
        <v>241582.29</v>
      </c>
      <c r="AM24" s="3">
        <v>58092</v>
      </c>
      <c r="AN24" s="222">
        <v>155120.41</v>
      </c>
      <c r="AO24" s="3">
        <f t="shared" si="9"/>
        <v>97028.41</v>
      </c>
      <c r="AP24" s="32">
        <f t="shared" si="10"/>
        <v>2.6702542518763344</v>
      </c>
      <c r="AR24" s="3">
        <v>177988.59</v>
      </c>
      <c r="AT24" s="3">
        <v>285828</v>
      </c>
      <c r="AU24" s="3">
        <v>237620.02</v>
      </c>
      <c r="AV24" s="3">
        <f>AU24-AT24</f>
        <v>-48207.98000000001</v>
      </c>
      <c r="AW24" s="32">
        <f t="shared" si="12"/>
        <v>0.83133919699959413</v>
      </c>
      <c r="AY24" s="3">
        <v>247333.07</v>
      </c>
      <c r="BA24" s="3">
        <v>200604</v>
      </c>
      <c r="BB24" s="222">
        <v>186915.97</v>
      </c>
      <c r="BC24" s="222">
        <f>BB24-BA24</f>
        <v>-13688.029999999999</v>
      </c>
      <c r="BD24" s="32">
        <f t="shared" si="14"/>
        <v>0.93176591693086874</v>
      </c>
      <c r="BF24" s="3">
        <v>165889.69</v>
      </c>
      <c r="BH24" s="3">
        <v>40641</v>
      </c>
      <c r="BI24" s="222">
        <v>100775.39</v>
      </c>
      <c r="BJ24" s="222">
        <f>BI24-BH24</f>
        <v>60134.39</v>
      </c>
      <c r="BK24" s="32">
        <f t="shared" si="16"/>
        <v>2.4796483846362047</v>
      </c>
      <c r="BM24" s="3">
        <v>142519.67000000001</v>
      </c>
      <c r="BO24" s="3">
        <v>185791</v>
      </c>
      <c r="BP24" s="3">
        <v>273093.28999999998</v>
      </c>
      <c r="BQ24" s="3">
        <f t="shared" si="31"/>
        <v>87302.289999999979</v>
      </c>
      <c r="BR24" s="32">
        <f t="shared" si="18"/>
        <v>1.4698951510030087</v>
      </c>
      <c r="BT24" s="3">
        <v>179663.05</v>
      </c>
      <c r="BV24" s="3">
        <v>146855</v>
      </c>
      <c r="BW24" s="34">
        <v>133076</v>
      </c>
      <c r="BX24" s="3">
        <f>BW24-BV24</f>
        <v>-13779</v>
      </c>
      <c r="BY24" s="32">
        <f t="shared" si="20"/>
        <v>0.90617275543903852</v>
      </c>
      <c r="CA24" s="3">
        <v>155285.35</v>
      </c>
      <c r="CC24" s="3">
        <v>157663</v>
      </c>
      <c r="CD24" s="3">
        <v>107691.34</v>
      </c>
      <c r="CE24" s="3">
        <f>CD24-CC24</f>
        <v>-49971.66</v>
      </c>
      <c r="CF24" s="32">
        <f t="shared" si="22"/>
        <v>0.68304763958569858</v>
      </c>
      <c r="CH24" s="3">
        <v>125561.9</v>
      </c>
      <c r="CJ24" s="225">
        <f t="shared" si="27"/>
        <v>2304144</v>
      </c>
      <c r="CK24" s="3">
        <f t="shared" si="27"/>
        <v>2231749.5399999996</v>
      </c>
      <c r="CL24" s="3">
        <f t="shared" si="23"/>
        <v>-72394.460000000428</v>
      </c>
      <c r="CM24" s="32">
        <f t="shared" si="28"/>
        <v>0.96858075710545855</v>
      </c>
      <c r="CO24" s="3">
        <f t="shared" si="29"/>
        <v>2158090.59</v>
      </c>
      <c r="CQ24" s="225">
        <f t="shared" si="24"/>
        <v>2461807</v>
      </c>
      <c r="CR24" s="3">
        <f t="shared" si="24"/>
        <v>2339440.8799999994</v>
      </c>
      <c r="CS24" s="3">
        <f t="shared" si="33"/>
        <v>-72394.460000000021</v>
      </c>
      <c r="CT24" s="32">
        <f t="shared" si="26"/>
        <v>0.95029418634360829</v>
      </c>
      <c r="CV24" s="3">
        <v>2283652.4899999998</v>
      </c>
    </row>
    <row r="25" spans="1:102" s="26" customFormat="1" ht="16.5" customHeight="1" x14ac:dyDescent="0.3">
      <c r="A25" s="35"/>
      <c r="B25" s="36" t="s">
        <v>21</v>
      </c>
      <c r="D25" s="5">
        <v>11908123</v>
      </c>
      <c r="E25" s="5">
        <f>E26+E27+E28+E29+E30+E31+E32+E33+E34+E35+E36+E37+E38</f>
        <v>13323733.779999999</v>
      </c>
      <c r="F25" s="5">
        <f>+F26+F27+F28+F29+F30+F31+F32+F33+F34+F35+F36+F38</f>
        <v>1415610.78</v>
      </c>
      <c r="G25" s="37">
        <f t="shared" si="1"/>
        <v>1.1188777425291963</v>
      </c>
      <c r="I25" s="5">
        <v>12679499.51</v>
      </c>
      <c r="J25" s="218"/>
      <c r="K25" s="5">
        <v>10592156</v>
      </c>
      <c r="L25" s="227">
        <f>SUM(L26:L38)</f>
        <v>13073204.32</v>
      </c>
      <c r="M25" s="5">
        <f>+M26+M27+M28+M29+M30+M31+M32+M33+M34+M35+M36+M38</f>
        <v>2481048.3200000003</v>
      </c>
      <c r="N25" s="37">
        <f t="shared" si="2"/>
        <v>1.2342344957910363</v>
      </c>
      <c r="P25" s="5">
        <v>10581466.809999999</v>
      </c>
      <c r="R25" s="5">
        <v>10282668</v>
      </c>
      <c r="S25" s="227">
        <f>S26+S27+S28+S29+S30+S31+S32+S33+S34+S35+S36+S37+S38</f>
        <v>13956437.559999999</v>
      </c>
      <c r="T25" s="249">
        <f>+T26+T27+T28+T29+T30+T31+T32+T33+T34+T35+T36+T38</f>
        <v>3673769.5599999996</v>
      </c>
      <c r="U25" s="37">
        <f t="shared" si="4"/>
        <v>1.3572778543467512</v>
      </c>
      <c r="W25" s="5">
        <v>10712362.289999999</v>
      </c>
      <c r="Y25" s="5">
        <v>11089652</v>
      </c>
      <c r="Z25" s="227">
        <f>+Z26+Z27+Z28+Z29+Z30+Z31+Z32+Z33+Z34+Z35+Z36+Z38</f>
        <v>11715430.84</v>
      </c>
      <c r="AA25" s="5">
        <f>+AA26+AA27+AA28+AA29+AA30+AA31+AA32+AA33+AA34+AA35+AA36+AA38</f>
        <v>625778.84000000008</v>
      </c>
      <c r="AB25" s="37">
        <f t="shared" si="32"/>
        <v>1.0564290782073233</v>
      </c>
      <c r="AD25" s="5">
        <v>12085513.380000001</v>
      </c>
      <c r="AF25" s="5">
        <v>8083738</v>
      </c>
      <c r="AG25" s="5">
        <f>+AG26+AG27+AG28+AG29+AG30+AG31+AG32+AG33+AG34+AG35+AG36+AG38</f>
        <v>12202509.200000001</v>
      </c>
      <c r="AH25" s="5">
        <f>+AH26+AH27+AH28+AH29+AH30+AH31+AH32+AH33+AH34+AH35+AH36+AH38</f>
        <v>4118771.1999999997</v>
      </c>
      <c r="AI25" s="37">
        <f t="shared" si="8"/>
        <v>1.5095131979784602</v>
      </c>
      <c r="AK25" s="5">
        <v>7111692.0499999998</v>
      </c>
      <c r="AM25" s="5">
        <v>10207267</v>
      </c>
      <c r="AN25" s="227">
        <f>+AN26+AN27+AN28+AN29+AN30+AN31+AN32+AN33+AN34+AN35+AN36+AN38</f>
        <v>14943029.600000001</v>
      </c>
      <c r="AO25" s="5">
        <f>+AO26+AO27+AO28+AO29+AO30+AO31+AO32+AO33+AO34+AO35+AO36+AO38</f>
        <v>4735762.6000000006</v>
      </c>
      <c r="AP25" s="37">
        <f t="shared" si="10"/>
        <v>1.4639599022931409</v>
      </c>
      <c r="AR25" s="5">
        <v>13812357.77</v>
      </c>
      <c r="AT25" s="5">
        <v>10229337</v>
      </c>
      <c r="AU25" s="5">
        <f>+AU26+AU27+AU28+AU29+AU30+AU31+AU32+AU33+AU34+AU35+AU36+AU38</f>
        <v>10986522.039999999</v>
      </c>
      <c r="AV25" s="5">
        <f>+AV26+AV27+AV28+AV29+AV30+AV31+AV32+AV33+AV34+AV35+AV36+AV38</f>
        <v>757185.04000000027</v>
      </c>
      <c r="AW25" s="37">
        <f t="shared" si="12"/>
        <v>1.0740209301932275</v>
      </c>
      <c r="AY25" s="5">
        <v>10066436.029999999</v>
      </c>
      <c r="BA25" s="5">
        <v>11723238</v>
      </c>
      <c r="BB25" s="227">
        <f>+BB26+BB27+BB28+BB29+BB30+BB31+BB32+BB33+BB34+BB35+BB36+BB38</f>
        <v>8480860.879999999</v>
      </c>
      <c r="BC25" s="227">
        <f>+BC26+BC27+BC28+BC29+BC30+BC31+BC32+BC33+BC34+BC35+BC36+BC38</f>
        <v>-3242377.12</v>
      </c>
      <c r="BD25" s="37">
        <f t="shared" si="14"/>
        <v>0.72342307475119072</v>
      </c>
      <c r="BF25" s="5">
        <v>13348360.559999999</v>
      </c>
      <c r="BH25" s="5">
        <v>4233419</v>
      </c>
      <c r="BI25" s="227">
        <f>BI26+BI27+BI28+BI29+BI30+BI31+BI32+BI33+BI34+BI35+BI36+BI37+BI38</f>
        <v>9445720.0999999978</v>
      </c>
      <c r="BJ25" s="227">
        <f t="shared" ref="BJ25:BJ38" si="34">BI25-BH25</f>
        <v>5212301.0999999978</v>
      </c>
      <c r="BK25" s="37">
        <f t="shared" si="16"/>
        <v>2.2312273129590996</v>
      </c>
      <c r="BM25" s="5">
        <v>10648879.799999999</v>
      </c>
      <c r="BO25" s="5">
        <v>11033096</v>
      </c>
      <c r="BP25" s="5">
        <f>BP26+BP27+BP28+BP29+BP30+BP31+BP32+BP33+BP35+BP34+BP36+BP37+BP38</f>
        <v>10102620.02</v>
      </c>
      <c r="BQ25" s="5">
        <f>+BQ26+BQ27+BQ28+BQ29+BQ30+BQ31+BQ32+BQ33+BQ34+BQ35+BQ36+BQ38</f>
        <v>-930475.97999999975</v>
      </c>
      <c r="BR25" s="37">
        <f t="shared" si="18"/>
        <v>0.91566501551332458</v>
      </c>
      <c r="BT25" s="5">
        <v>11693727.52</v>
      </c>
      <c r="BV25" s="5">
        <v>9361784</v>
      </c>
      <c r="BW25" s="5">
        <f>SUM(BW26:BW38)</f>
        <v>12527196.879999999</v>
      </c>
      <c r="BX25" s="5">
        <f>+BX26+BX27+BX28+BX29+BX30+BX31+BX32+BX33+BX34+BX35+BX36+BX38</f>
        <v>3165412.88</v>
      </c>
      <c r="BY25" s="37">
        <f t="shared" si="20"/>
        <v>1.3381206915263157</v>
      </c>
      <c r="CA25" s="5">
        <v>10214252.93</v>
      </c>
      <c r="CC25" s="5">
        <v>9649233</v>
      </c>
      <c r="CD25" s="5">
        <v>5932074.7000000002</v>
      </c>
      <c r="CE25" s="5">
        <f>+CE26+CE27+CE28+CE29+CE30+CE31+CE32+CE33+CE34+CE35+CE36+CE38</f>
        <v>-3717158.3</v>
      </c>
      <c r="CF25" s="37">
        <f t="shared" si="22"/>
        <v>0.6147716300352577</v>
      </c>
      <c r="CH25" s="5">
        <v>14251702.42</v>
      </c>
      <c r="CJ25" s="228">
        <f t="shared" si="27"/>
        <v>108744478</v>
      </c>
      <c r="CK25" s="5">
        <f t="shared" si="27"/>
        <v>130757265.21999998</v>
      </c>
      <c r="CL25" s="5">
        <f t="shared" si="23"/>
        <v>22012787.219999984</v>
      </c>
      <c r="CM25" s="37">
        <f t="shared" si="28"/>
        <v>1.2024267128304205</v>
      </c>
      <c r="CO25" s="5">
        <f t="shared" si="29"/>
        <v>122954548.65000001</v>
      </c>
      <c r="CQ25" s="228">
        <f t="shared" si="24"/>
        <v>118393711</v>
      </c>
      <c r="CR25" s="5">
        <f t="shared" si="24"/>
        <v>136689339.91999999</v>
      </c>
      <c r="CS25" s="5">
        <f t="shared" si="33"/>
        <v>22012787.219999995</v>
      </c>
      <c r="CT25" s="37">
        <f t="shared" si="26"/>
        <v>1.1545321011181073</v>
      </c>
      <c r="CV25" s="5">
        <v>137206251.06999999</v>
      </c>
    </row>
    <row r="26" spans="1:102" s="31" customFormat="1" ht="16.5" customHeight="1" x14ac:dyDescent="0.3">
      <c r="A26" s="29">
        <v>22</v>
      </c>
      <c r="B26" s="30" t="s">
        <v>22</v>
      </c>
      <c r="D26" s="3">
        <v>1028278</v>
      </c>
      <c r="E26" s="3">
        <v>629652.5</v>
      </c>
      <c r="F26" s="3">
        <f t="shared" ref="F26:F38" si="35">E26-D26</f>
        <v>-398625.5</v>
      </c>
      <c r="G26" s="32">
        <f t="shared" si="1"/>
        <v>0.61233683887042223</v>
      </c>
      <c r="I26" s="3">
        <v>928144.66</v>
      </c>
      <c r="J26" s="221"/>
      <c r="K26" s="250">
        <v>884123</v>
      </c>
      <c r="L26" s="251">
        <v>866159.3</v>
      </c>
      <c r="M26" s="3">
        <f t="shared" ref="M26:M38" si="36">L26-K26</f>
        <v>-17963.699999999953</v>
      </c>
      <c r="N26" s="32">
        <f t="shared" si="2"/>
        <v>0.97968189946421491</v>
      </c>
      <c r="P26" s="3">
        <v>798026.76</v>
      </c>
      <c r="R26" s="3">
        <v>914932</v>
      </c>
      <c r="S26" s="223">
        <v>1060688.0900000001</v>
      </c>
      <c r="T26" s="3">
        <f t="shared" ref="T26:T38" si="37">S26-R26</f>
        <v>145756.09000000008</v>
      </c>
      <c r="U26" s="32">
        <f t="shared" si="4"/>
        <v>1.1593081125154656</v>
      </c>
      <c r="W26" s="3">
        <v>825835.24</v>
      </c>
      <c r="Y26" s="3">
        <v>417671</v>
      </c>
      <c r="Z26" s="223">
        <v>432617.84</v>
      </c>
      <c r="AA26" s="3">
        <f t="shared" ref="AA26:AA38" si="38">Z26-Y26</f>
        <v>14946.840000000026</v>
      </c>
      <c r="AB26" s="32">
        <f t="shared" si="32"/>
        <v>1.0357861570470539</v>
      </c>
      <c r="AD26" s="3">
        <v>268973.5</v>
      </c>
      <c r="AF26" s="3">
        <v>660039</v>
      </c>
      <c r="AG26" s="3">
        <v>253466.36</v>
      </c>
      <c r="AH26" s="3">
        <f t="shared" ref="AH26:AH38" si="39">AG26-AF26</f>
        <v>-406572.64</v>
      </c>
      <c r="AI26" s="32">
        <f t="shared" si="8"/>
        <v>0.38401724746568006</v>
      </c>
      <c r="AK26" s="3">
        <v>487739</v>
      </c>
      <c r="AM26" s="3">
        <v>119680</v>
      </c>
      <c r="AN26" s="222">
        <v>369201.61</v>
      </c>
      <c r="AO26" s="3">
        <f t="shared" ref="AO26:AO38" si="40">AN26-AM26</f>
        <v>249521.61</v>
      </c>
      <c r="AP26" s="32">
        <f t="shared" si="10"/>
        <v>3.0849065006684491</v>
      </c>
      <c r="AR26" s="3">
        <v>324079</v>
      </c>
      <c r="AT26" s="3">
        <v>226773</v>
      </c>
      <c r="AU26" s="3">
        <v>308364</v>
      </c>
      <c r="AV26" s="3">
        <f t="shared" ref="AV26:AV38" si="41">AU26-AT26</f>
        <v>81591</v>
      </c>
      <c r="AW26" s="32">
        <f t="shared" si="12"/>
        <v>1.3597915095712452</v>
      </c>
      <c r="AY26" s="3">
        <v>204692</v>
      </c>
      <c r="BA26" s="3">
        <v>179942</v>
      </c>
      <c r="BB26" s="222">
        <v>118471.77</v>
      </c>
      <c r="BC26" s="222">
        <f t="shared" ref="BC26:BC38" si="42">BB26-BA26</f>
        <v>-61470.229999999996</v>
      </c>
      <c r="BD26" s="32">
        <f t="shared" si="14"/>
        <v>0.65838864745306824</v>
      </c>
      <c r="BF26" s="3">
        <v>162421</v>
      </c>
      <c r="BH26" s="3">
        <v>27701</v>
      </c>
      <c r="BI26" s="222">
        <v>91686.27</v>
      </c>
      <c r="BJ26" s="222">
        <f t="shared" si="34"/>
        <v>63985.270000000004</v>
      </c>
      <c r="BK26" s="32">
        <f t="shared" si="16"/>
        <v>3.3098541568896431</v>
      </c>
      <c r="BM26" s="3">
        <v>100016</v>
      </c>
      <c r="BO26" s="3">
        <v>132080</v>
      </c>
      <c r="BP26" s="3">
        <v>163021.46</v>
      </c>
      <c r="BQ26" s="3">
        <f t="shared" ref="BQ26:BQ38" si="43">BP26-BO26</f>
        <v>30941.459999999992</v>
      </c>
      <c r="BR26" s="32">
        <f t="shared" si="18"/>
        <v>1.2342630224106601</v>
      </c>
      <c r="BT26" s="3">
        <v>107457</v>
      </c>
      <c r="BV26" s="3">
        <v>190821</v>
      </c>
      <c r="BW26" s="34">
        <v>91082.37</v>
      </c>
      <c r="BX26" s="3">
        <f t="shared" ref="BX26:BX38" si="44">BW26-BV26</f>
        <v>-99738.63</v>
      </c>
      <c r="BY26" s="32">
        <f t="shared" si="20"/>
        <v>0.47731837690820189</v>
      </c>
      <c r="CA26" s="3">
        <v>79597</v>
      </c>
      <c r="CC26" s="3">
        <v>75489</v>
      </c>
      <c r="CD26" s="3">
        <v>58494.16</v>
      </c>
      <c r="CE26" s="3">
        <f t="shared" ref="CE26:CE38" si="45">CD26-CC26</f>
        <v>-16994.839999999997</v>
      </c>
      <c r="CF26" s="32">
        <f t="shared" si="22"/>
        <v>0.77486998105684279</v>
      </c>
      <c r="CH26" s="3">
        <v>39249</v>
      </c>
      <c r="CJ26" s="225">
        <f t="shared" si="27"/>
        <v>4782040</v>
      </c>
      <c r="CK26" s="3">
        <f t="shared" si="27"/>
        <v>4384411.57</v>
      </c>
      <c r="CL26" s="3">
        <f t="shared" si="23"/>
        <v>-397628.4299999997</v>
      </c>
      <c r="CM26" s="32">
        <f t="shared" si="28"/>
        <v>0.91684962275514226</v>
      </c>
      <c r="CO26" s="3">
        <f t="shared" si="29"/>
        <v>4286981.16</v>
      </c>
      <c r="CQ26" s="225">
        <f t="shared" si="24"/>
        <v>4857529</v>
      </c>
      <c r="CR26" s="3">
        <f t="shared" si="24"/>
        <v>4442905.7300000004</v>
      </c>
      <c r="CS26" s="3">
        <f t="shared" si="33"/>
        <v>-397628.42999999993</v>
      </c>
      <c r="CT26" s="32">
        <f t="shared" si="26"/>
        <v>0.91464317145610463</v>
      </c>
      <c r="CV26" s="3">
        <v>4326230.16</v>
      </c>
    </row>
    <row r="27" spans="1:102" s="31" customFormat="1" ht="16.5" customHeight="1" x14ac:dyDescent="0.3">
      <c r="A27" s="29">
        <v>23</v>
      </c>
      <c r="B27" s="30" t="s">
        <v>23</v>
      </c>
      <c r="D27" s="3">
        <v>2644866</v>
      </c>
      <c r="E27" s="3">
        <v>4008020.11</v>
      </c>
      <c r="F27" s="3">
        <f t="shared" si="35"/>
        <v>1363154.1099999999</v>
      </c>
      <c r="G27" s="32">
        <f t="shared" si="1"/>
        <v>1.515396284726712</v>
      </c>
      <c r="I27" s="3">
        <v>3046560.28</v>
      </c>
      <c r="J27" s="221"/>
      <c r="K27" s="33">
        <v>3904134</v>
      </c>
      <c r="L27" s="222">
        <v>5961880.8600000003</v>
      </c>
      <c r="M27" s="3">
        <f t="shared" si="36"/>
        <v>2057746.8600000003</v>
      </c>
      <c r="N27" s="32">
        <f t="shared" si="2"/>
        <v>1.5270687071703994</v>
      </c>
      <c r="P27" s="3">
        <v>3987242.41</v>
      </c>
      <c r="R27" s="3">
        <v>3098079</v>
      </c>
      <c r="S27" s="223">
        <v>6634841.5199999996</v>
      </c>
      <c r="T27" s="3">
        <f t="shared" si="37"/>
        <v>3536762.5199999996</v>
      </c>
      <c r="U27" s="32">
        <f t="shared" si="4"/>
        <v>2.1415985583324373</v>
      </c>
      <c r="W27" s="3">
        <v>3647954.02</v>
      </c>
      <c r="Y27" s="3">
        <v>5494663</v>
      </c>
      <c r="Z27" s="223">
        <v>6602988.5300000003</v>
      </c>
      <c r="AA27" s="3">
        <f t="shared" si="38"/>
        <v>1108325.5300000003</v>
      </c>
      <c r="AB27" s="32">
        <f t="shared" si="32"/>
        <v>1.2017094642564976</v>
      </c>
      <c r="AD27" s="3">
        <v>5907381.54</v>
      </c>
      <c r="AF27" s="3">
        <v>4167233</v>
      </c>
      <c r="AG27" s="3">
        <v>5604575.46</v>
      </c>
      <c r="AH27" s="3">
        <f t="shared" si="39"/>
        <v>1437342.46</v>
      </c>
      <c r="AI27" s="32">
        <f t="shared" si="8"/>
        <v>1.3449153095111313</v>
      </c>
      <c r="AK27" s="3">
        <v>3360826.01</v>
      </c>
      <c r="AM27" s="3">
        <v>2989571</v>
      </c>
      <c r="AN27" s="222">
        <v>7716700.6299999999</v>
      </c>
      <c r="AO27" s="3">
        <f t="shared" si="40"/>
        <v>4727129.63</v>
      </c>
      <c r="AP27" s="32">
        <f t="shared" si="10"/>
        <v>2.5812066781488046</v>
      </c>
      <c r="AR27" s="3">
        <v>6236547.2300000004</v>
      </c>
      <c r="AT27" s="3">
        <v>4928266</v>
      </c>
      <c r="AU27" s="3">
        <v>5109103.57</v>
      </c>
      <c r="AV27" s="3">
        <f t="shared" si="41"/>
        <v>180837.5700000003</v>
      </c>
      <c r="AW27" s="32">
        <f t="shared" si="12"/>
        <v>1.036693954831172</v>
      </c>
      <c r="AY27" s="3">
        <v>4852539.3899999997</v>
      </c>
      <c r="BA27" s="3">
        <v>6856484</v>
      </c>
      <c r="BB27" s="222">
        <v>5160898.92</v>
      </c>
      <c r="BC27" s="222">
        <f t="shared" si="42"/>
        <v>-1695585.08</v>
      </c>
      <c r="BD27" s="32">
        <f t="shared" si="14"/>
        <v>0.75270341475310087</v>
      </c>
      <c r="BF27" s="3">
        <v>8549465.7300000004</v>
      </c>
      <c r="BH27" s="3">
        <v>1458964</v>
      </c>
      <c r="BI27" s="222">
        <v>4777219.63</v>
      </c>
      <c r="BJ27" s="222">
        <f t="shared" si="34"/>
        <v>3318255.63</v>
      </c>
      <c r="BK27" s="32">
        <f t="shared" si="16"/>
        <v>3.2743917122012607</v>
      </c>
      <c r="BM27" s="3">
        <v>5916102.9199999999</v>
      </c>
      <c r="BO27" s="3">
        <v>5688540</v>
      </c>
      <c r="BP27" s="3">
        <v>6109360.1100000003</v>
      </c>
      <c r="BQ27" s="3">
        <f t="shared" si="43"/>
        <v>420820.11000000034</v>
      </c>
      <c r="BR27" s="32">
        <f t="shared" si="18"/>
        <v>1.0739768218207133</v>
      </c>
      <c r="BT27" s="3">
        <v>6280067.2400000002</v>
      </c>
      <c r="BV27" s="3">
        <v>5018362</v>
      </c>
      <c r="BW27" s="34">
        <v>8497068.3499999996</v>
      </c>
      <c r="BX27" s="3">
        <f t="shared" si="44"/>
        <v>3478706.3499999996</v>
      </c>
      <c r="BY27" s="32">
        <f t="shared" si="20"/>
        <v>1.6931955785573061</v>
      </c>
      <c r="CA27" s="3">
        <v>3970686.3</v>
      </c>
      <c r="CC27" s="3">
        <v>6608925</v>
      </c>
      <c r="CD27" s="3">
        <v>3107398.99</v>
      </c>
      <c r="CE27" s="3">
        <f t="shared" si="45"/>
        <v>-3501526.01</v>
      </c>
      <c r="CF27" s="32">
        <f t="shared" si="22"/>
        <v>0.47018221420276374</v>
      </c>
      <c r="CH27" s="3">
        <v>8341333.1799999997</v>
      </c>
      <c r="CJ27" s="225">
        <f t="shared" si="27"/>
        <v>46249162</v>
      </c>
      <c r="CK27" s="3">
        <f t="shared" si="27"/>
        <v>66182657.690000005</v>
      </c>
      <c r="CL27" s="3">
        <f t="shared" si="23"/>
        <v>19933495.690000005</v>
      </c>
      <c r="CM27" s="32">
        <f t="shared" si="28"/>
        <v>1.431002310701327</v>
      </c>
      <c r="CO27" s="3">
        <f t="shared" si="29"/>
        <v>55755373.07</v>
      </c>
      <c r="CQ27" s="225">
        <f t="shared" si="24"/>
        <v>52858087</v>
      </c>
      <c r="CR27" s="3">
        <f t="shared" si="24"/>
        <v>69290056.680000007</v>
      </c>
      <c r="CS27" s="3">
        <f t="shared" si="33"/>
        <v>19933495.689999998</v>
      </c>
      <c r="CT27" s="32">
        <f t="shared" si="26"/>
        <v>1.3108695492517541</v>
      </c>
      <c r="CV27" s="3">
        <v>64096706.25</v>
      </c>
    </row>
    <row r="28" spans="1:102" s="31" customFormat="1" ht="16.5" customHeight="1" x14ac:dyDescent="0.3">
      <c r="A28" s="29">
        <v>24</v>
      </c>
      <c r="B28" s="30" t="s">
        <v>24</v>
      </c>
      <c r="D28" s="3">
        <v>0</v>
      </c>
      <c r="E28" s="3">
        <v>0</v>
      </c>
      <c r="F28" s="3">
        <f t="shared" si="35"/>
        <v>0</v>
      </c>
      <c r="G28" s="32">
        <f t="shared" si="1"/>
        <v>0</v>
      </c>
      <c r="I28" s="3">
        <v>0</v>
      </c>
      <c r="J28" s="221"/>
      <c r="K28" s="33">
        <v>0</v>
      </c>
      <c r="L28" s="251">
        <v>0</v>
      </c>
      <c r="M28" s="3">
        <f t="shared" si="36"/>
        <v>0</v>
      </c>
      <c r="N28" s="32">
        <f t="shared" si="2"/>
        <v>0</v>
      </c>
      <c r="P28" s="3">
        <v>0</v>
      </c>
      <c r="R28" s="3">
        <v>0</v>
      </c>
      <c r="S28" s="3">
        <v>0</v>
      </c>
      <c r="T28" s="3">
        <f t="shared" si="37"/>
        <v>0</v>
      </c>
      <c r="U28" s="32">
        <f t="shared" si="4"/>
        <v>0</v>
      </c>
      <c r="W28" s="3">
        <v>0</v>
      </c>
      <c r="Y28" s="3">
        <v>0</v>
      </c>
      <c r="Z28" s="3">
        <v>0</v>
      </c>
      <c r="AA28" s="3">
        <f t="shared" si="38"/>
        <v>0</v>
      </c>
      <c r="AB28" s="32">
        <f t="shared" si="32"/>
        <v>0</v>
      </c>
      <c r="AD28" s="3">
        <v>0</v>
      </c>
      <c r="AF28" s="3">
        <v>0</v>
      </c>
      <c r="AG28" s="3">
        <v>0</v>
      </c>
      <c r="AH28" s="3">
        <f t="shared" si="39"/>
        <v>0</v>
      </c>
      <c r="AI28" s="32">
        <f t="shared" si="8"/>
        <v>0</v>
      </c>
      <c r="AK28" s="3">
        <v>0</v>
      </c>
      <c r="AM28" s="3">
        <v>0</v>
      </c>
      <c r="AN28" s="3">
        <v>0</v>
      </c>
      <c r="AO28" s="3">
        <f t="shared" si="40"/>
        <v>0</v>
      </c>
      <c r="AP28" s="32">
        <f t="shared" si="10"/>
        <v>0</v>
      </c>
      <c r="AR28" s="3">
        <v>0</v>
      </c>
      <c r="AT28" s="3">
        <v>0</v>
      </c>
      <c r="AU28" s="3">
        <v>0</v>
      </c>
      <c r="AV28" s="3">
        <f t="shared" si="41"/>
        <v>0</v>
      </c>
      <c r="AW28" s="32">
        <f t="shared" si="12"/>
        <v>0</v>
      </c>
      <c r="AY28" s="3">
        <v>0</v>
      </c>
      <c r="BA28" s="3">
        <v>0</v>
      </c>
      <c r="BB28" s="3">
        <v>0</v>
      </c>
      <c r="BC28" s="3">
        <f t="shared" si="42"/>
        <v>0</v>
      </c>
      <c r="BD28" s="32">
        <f t="shared" si="14"/>
        <v>0</v>
      </c>
      <c r="BF28" s="3">
        <v>0</v>
      </c>
      <c r="BH28" s="3">
        <v>0</v>
      </c>
      <c r="BI28" s="3">
        <v>0</v>
      </c>
      <c r="BJ28" s="222">
        <f t="shared" si="34"/>
        <v>0</v>
      </c>
      <c r="BK28" s="32">
        <f t="shared" si="16"/>
        <v>0</v>
      </c>
      <c r="BM28" s="3">
        <v>0</v>
      </c>
      <c r="BO28" s="3">
        <v>0</v>
      </c>
      <c r="BP28" s="3">
        <v>0</v>
      </c>
      <c r="BQ28" s="3">
        <f t="shared" si="43"/>
        <v>0</v>
      </c>
      <c r="BR28" s="32">
        <f t="shared" si="18"/>
        <v>0</v>
      </c>
      <c r="BT28" s="3">
        <v>0</v>
      </c>
      <c r="BV28" s="3">
        <v>0</v>
      </c>
      <c r="BW28" s="34">
        <v>0</v>
      </c>
      <c r="BX28" s="3">
        <f t="shared" si="44"/>
        <v>0</v>
      </c>
      <c r="BY28" s="32">
        <f t="shared" si="20"/>
        <v>0</v>
      </c>
      <c r="CA28" s="3">
        <v>0</v>
      </c>
      <c r="CC28" s="3">
        <v>0</v>
      </c>
      <c r="CD28" s="3">
        <v>0</v>
      </c>
      <c r="CE28" s="3">
        <f t="shared" si="45"/>
        <v>0</v>
      </c>
      <c r="CF28" s="32">
        <f t="shared" si="22"/>
        <v>0</v>
      </c>
      <c r="CH28" s="3">
        <v>0</v>
      </c>
      <c r="CJ28" s="225">
        <f t="shared" si="27"/>
        <v>0</v>
      </c>
      <c r="CK28" s="3">
        <f t="shared" si="27"/>
        <v>0</v>
      </c>
      <c r="CL28" s="3">
        <f t="shared" si="23"/>
        <v>0</v>
      </c>
      <c r="CM28" s="32">
        <f t="shared" si="28"/>
        <v>0</v>
      </c>
      <c r="CO28" s="3">
        <f t="shared" si="29"/>
        <v>0</v>
      </c>
      <c r="CQ28" s="225">
        <f t="shared" si="24"/>
        <v>0</v>
      </c>
      <c r="CR28" s="3">
        <f t="shared" si="24"/>
        <v>0</v>
      </c>
      <c r="CS28" s="3">
        <f t="shared" si="33"/>
        <v>0</v>
      </c>
      <c r="CT28" s="32">
        <f t="shared" si="26"/>
        <v>0</v>
      </c>
      <c r="CV28" s="3">
        <v>0</v>
      </c>
    </row>
    <row r="29" spans="1:102" s="31" customFormat="1" ht="16.5" customHeight="1" x14ac:dyDescent="0.3">
      <c r="A29" s="29">
        <v>25</v>
      </c>
      <c r="B29" s="30" t="s">
        <v>25</v>
      </c>
      <c r="D29" s="3">
        <v>2381437</v>
      </c>
      <c r="E29" s="3">
        <v>3120926.83</v>
      </c>
      <c r="F29" s="3">
        <f t="shared" si="35"/>
        <v>739489.83000000007</v>
      </c>
      <c r="G29" s="32">
        <f t="shared" si="1"/>
        <v>1.310522524845293</v>
      </c>
      <c r="I29" s="3">
        <v>2915699.96</v>
      </c>
      <c r="J29" s="221"/>
      <c r="K29" s="33">
        <v>1619019</v>
      </c>
      <c r="L29" s="222">
        <v>1973762.94</v>
      </c>
      <c r="M29" s="3">
        <f t="shared" si="36"/>
        <v>354743.93999999994</v>
      </c>
      <c r="N29" s="32">
        <f t="shared" si="2"/>
        <v>1.2191104242754409</v>
      </c>
      <c r="P29" s="3">
        <v>1674397.7</v>
      </c>
      <c r="R29" s="3">
        <v>2014809</v>
      </c>
      <c r="S29" s="223">
        <v>1761095.6</v>
      </c>
      <c r="T29" s="3">
        <f t="shared" si="37"/>
        <v>-253713.39999999991</v>
      </c>
      <c r="U29" s="32">
        <f t="shared" si="4"/>
        <v>0.87407570643172627</v>
      </c>
      <c r="W29" s="3">
        <v>1981931.87</v>
      </c>
      <c r="Y29" s="3">
        <v>2169660</v>
      </c>
      <c r="Z29" s="223">
        <v>355289.11</v>
      </c>
      <c r="AA29" s="3">
        <f t="shared" si="38"/>
        <v>-1814370.8900000001</v>
      </c>
      <c r="AB29" s="32">
        <f t="shared" si="32"/>
        <v>0.16375335766894353</v>
      </c>
      <c r="AD29" s="3">
        <v>2134434.1</v>
      </c>
      <c r="AF29" s="3">
        <v>26464</v>
      </c>
      <c r="AG29" s="3">
        <v>1618131.16</v>
      </c>
      <c r="AH29" s="3">
        <f t="shared" si="39"/>
        <v>1591667.16</v>
      </c>
      <c r="AI29" s="32">
        <f t="shared" si="8"/>
        <v>61.144617593712212</v>
      </c>
      <c r="AK29" s="3">
        <v>25990.53</v>
      </c>
      <c r="AM29" s="3">
        <v>4058052</v>
      </c>
      <c r="AN29" s="222">
        <v>3557556.95</v>
      </c>
      <c r="AO29" s="3">
        <f t="shared" si="40"/>
        <v>-500495.04999999981</v>
      </c>
      <c r="AP29" s="32">
        <f t="shared" si="10"/>
        <v>0.8766661812120693</v>
      </c>
      <c r="AR29" s="3">
        <v>3991903.25</v>
      </c>
      <c r="AT29" s="3">
        <v>2209904</v>
      </c>
      <c r="AU29" s="3">
        <v>2082040.46</v>
      </c>
      <c r="AV29" s="3">
        <f t="shared" si="41"/>
        <v>-127863.54000000004</v>
      </c>
      <c r="AW29" s="32">
        <f t="shared" si="12"/>
        <v>0.94214068122416172</v>
      </c>
      <c r="AY29" s="3">
        <v>2173979.7400000002</v>
      </c>
      <c r="BA29" s="3">
        <v>2123866</v>
      </c>
      <c r="BB29" s="222">
        <v>22146.25</v>
      </c>
      <c r="BC29" s="222">
        <f t="shared" si="42"/>
        <v>-2101719.75</v>
      </c>
      <c r="BD29" s="32">
        <f t="shared" si="14"/>
        <v>1.0427329219451697E-2</v>
      </c>
      <c r="BF29" s="3">
        <v>2102107.7799999998</v>
      </c>
      <c r="BH29" s="3">
        <v>969135</v>
      </c>
      <c r="BI29" s="222">
        <v>2340712.04</v>
      </c>
      <c r="BJ29" s="222">
        <f t="shared" si="34"/>
        <v>1371577.04</v>
      </c>
      <c r="BK29" s="32">
        <f t="shared" si="16"/>
        <v>2.4152590093227464</v>
      </c>
      <c r="BM29" s="3">
        <v>1988810.79</v>
      </c>
      <c r="BO29" s="3">
        <v>2021808</v>
      </c>
      <c r="BP29" s="3">
        <v>116424</v>
      </c>
      <c r="BQ29" s="3">
        <f t="shared" si="43"/>
        <v>-1905384</v>
      </c>
      <c r="BR29" s="32">
        <f t="shared" si="18"/>
        <v>5.7584102941525606E-2</v>
      </c>
      <c r="BT29" s="3">
        <v>1992141.52</v>
      </c>
      <c r="BV29" s="3">
        <v>2025089</v>
      </c>
      <c r="BW29" s="34">
        <v>0</v>
      </c>
      <c r="BX29" s="3">
        <f t="shared" si="44"/>
        <v>-2025089</v>
      </c>
      <c r="BY29" s="32">
        <f t="shared" si="20"/>
        <v>0</v>
      </c>
      <c r="CA29" s="3">
        <v>3244467.77</v>
      </c>
      <c r="CC29" s="3">
        <v>958631</v>
      </c>
      <c r="CD29" s="3">
        <v>36040.199999999997</v>
      </c>
      <c r="CE29" s="3">
        <f t="shared" si="45"/>
        <v>-922590.8</v>
      </c>
      <c r="CF29" s="32">
        <f t="shared" si="22"/>
        <v>3.7595487731984463E-2</v>
      </c>
      <c r="CH29" s="3">
        <v>3250918.95</v>
      </c>
      <c r="CJ29" s="225">
        <f t="shared" si="27"/>
        <v>21619243</v>
      </c>
      <c r="CK29" s="3">
        <f t="shared" si="27"/>
        <v>16948085.34</v>
      </c>
      <c r="CL29" s="3">
        <f t="shared" si="23"/>
        <v>-4671157.66</v>
      </c>
      <c r="CM29" s="32">
        <f t="shared" si="28"/>
        <v>0.78393518866502399</v>
      </c>
      <c r="CO29" s="3">
        <f t="shared" si="29"/>
        <v>24225865.009999998</v>
      </c>
      <c r="CQ29" s="225">
        <f t="shared" si="24"/>
        <v>22577874</v>
      </c>
      <c r="CR29" s="3">
        <f t="shared" si="24"/>
        <v>16984125.539999999</v>
      </c>
      <c r="CS29" s="3">
        <f t="shared" si="33"/>
        <v>-4671157.66</v>
      </c>
      <c r="CT29" s="32">
        <f t="shared" si="26"/>
        <v>0.7522464488906262</v>
      </c>
      <c r="CV29" s="3">
        <v>27476783.959999997</v>
      </c>
    </row>
    <row r="30" spans="1:102" s="31" customFormat="1" ht="16.5" customHeight="1" x14ac:dyDescent="0.3">
      <c r="A30" s="29">
        <v>26</v>
      </c>
      <c r="B30" s="30" t="s">
        <v>26</v>
      </c>
      <c r="D30" s="3">
        <v>333770</v>
      </c>
      <c r="E30" s="3">
        <v>404687.5</v>
      </c>
      <c r="F30" s="3">
        <f t="shared" si="35"/>
        <v>70917.5</v>
      </c>
      <c r="G30" s="32">
        <f t="shared" si="1"/>
        <v>1.2124741588519039</v>
      </c>
      <c r="I30" s="3">
        <v>325924</v>
      </c>
      <c r="J30" s="221"/>
      <c r="K30" s="33">
        <v>304221</v>
      </c>
      <c r="L30" s="222">
        <v>318638.5</v>
      </c>
      <c r="M30" s="3">
        <f t="shared" si="36"/>
        <v>14417.5</v>
      </c>
      <c r="N30" s="32">
        <f t="shared" si="2"/>
        <v>1.0473915344437104</v>
      </c>
      <c r="P30" s="3">
        <v>297069</v>
      </c>
      <c r="R30" s="3">
        <v>338815</v>
      </c>
      <c r="S30" s="223">
        <v>372706</v>
      </c>
      <c r="T30" s="3">
        <f t="shared" si="37"/>
        <v>33891</v>
      </c>
      <c r="U30" s="32">
        <f t="shared" si="4"/>
        <v>1.1000280389002848</v>
      </c>
      <c r="W30" s="3">
        <v>330824</v>
      </c>
      <c r="Y30" s="3">
        <v>307796</v>
      </c>
      <c r="Z30" s="223">
        <v>334779.5</v>
      </c>
      <c r="AA30" s="3">
        <f t="shared" si="38"/>
        <v>26983.5</v>
      </c>
      <c r="AB30" s="32">
        <f t="shared" si="32"/>
        <v>1.0876668312778595</v>
      </c>
      <c r="AD30" s="3">
        <v>300543</v>
      </c>
      <c r="AF30" s="3">
        <v>338746</v>
      </c>
      <c r="AG30" s="3">
        <v>335353.93</v>
      </c>
      <c r="AH30" s="3">
        <f t="shared" si="39"/>
        <v>-3392.070000000007</v>
      </c>
      <c r="AI30" s="32">
        <f t="shared" si="8"/>
        <v>0.9899863909832145</v>
      </c>
      <c r="AK30" s="3">
        <v>330755</v>
      </c>
      <c r="AM30" s="3">
        <v>340764</v>
      </c>
      <c r="AN30" s="222">
        <v>293984</v>
      </c>
      <c r="AO30" s="3">
        <f t="shared" si="40"/>
        <v>-46780</v>
      </c>
      <c r="AP30" s="32">
        <f t="shared" si="10"/>
        <v>0.86272024040098128</v>
      </c>
      <c r="AR30" s="3">
        <v>332756</v>
      </c>
      <c r="AT30" s="3">
        <v>406272</v>
      </c>
      <c r="AU30" s="3">
        <v>389421</v>
      </c>
      <c r="AV30" s="3">
        <f t="shared" si="41"/>
        <v>-16851</v>
      </c>
      <c r="AW30" s="32">
        <f t="shared" si="12"/>
        <v>0.95852286153119093</v>
      </c>
      <c r="AY30" s="3">
        <v>396696.5</v>
      </c>
      <c r="BA30" s="3">
        <v>388369</v>
      </c>
      <c r="BB30" s="222">
        <v>452292</v>
      </c>
      <c r="BC30" s="222">
        <f t="shared" si="42"/>
        <v>63923</v>
      </c>
      <c r="BD30" s="32">
        <f t="shared" si="14"/>
        <v>1.1645934665228173</v>
      </c>
      <c r="BF30" s="3">
        <v>379233</v>
      </c>
      <c r="BH30" s="3">
        <v>201810</v>
      </c>
      <c r="BI30" s="222">
        <v>252016</v>
      </c>
      <c r="BJ30" s="222">
        <f t="shared" si="34"/>
        <v>50206</v>
      </c>
      <c r="BK30" s="32">
        <f t="shared" si="16"/>
        <v>1.2487785540855261</v>
      </c>
      <c r="BM30" s="3">
        <v>304458</v>
      </c>
      <c r="BO30" s="3">
        <v>400668</v>
      </c>
      <c r="BP30" s="3">
        <v>530418</v>
      </c>
      <c r="BQ30" s="3">
        <f t="shared" si="43"/>
        <v>129750</v>
      </c>
      <c r="BR30" s="32">
        <f t="shared" si="18"/>
        <v>1.3238341968911918</v>
      </c>
      <c r="BT30" s="3">
        <v>391250</v>
      </c>
      <c r="BV30" s="3">
        <v>311790</v>
      </c>
      <c r="BW30" s="34">
        <v>333285</v>
      </c>
      <c r="BX30" s="3">
        <f t="shared" si="44"/>
        <v>21495</v>
      </c>
      <c r="BY30" s="32">
        <f t="shared" si="20"/>
        <v>1.068940633118445</v>
      </c>
      <c r="CA30" s="3">
        <v>347579</v>
      </c>
      <c r="CC30" s="3">
        <v>202019</v>
      </c>
      <c r="CD30" s="3">
        <v>324896</v>
      </c>
      <c r="CE30" s="3">
        <f t="shared" si="45"/>
        <v>122877</v>
      </c>
      <c r="CF30" s="32">
        <f t="shared" si="22"/>
        <v>1.6082447690563759</v>
      </c>
      <c r="CH30" s="3">
        <v>265148</v>
      </c>
      <c r="CJ30" s="225">
        <f t="shared" si="27"/>
        <v>3673021</v>
      </c>
      <c r="CK30" s="3">
        <f t="shared" si="27"/>
        <v>4017581.4299999997</v>
      </c>
      <c r="CL30" s="3">
        <f t="shared" si="23"/>
        <v>344560.4299999997</v>
      </c>
      <c r="CM30" s="32">
        <f t="shared" si="28"/>
        <v>1.093808456308853</v>
      </c>
      <c r="CO30" s="3">
        <f t="shared" si="29"/>
        <v>3737087.5</v>
      </c>
      <c r="CQ30" s="225">
        <f t="shared" si="24"/>
        <v>3875040</v>
      </c>
      <c r="CR30" s="3">
        <f t="shared" si="24"/>
        <v>4342477.43</v>
      </c>
      <c r="CS30" s="3">
        <f t="shared" si="33"/>
        <v>344560.43</v>
      </c>
      <c r="CT30" s="32">
        <f t="shared" si="26"/>
        <v>1.1206277690036748</v>
      </c>
      <c r="CV30" s="3">
        <v>4002235.5</v>
      </c>
    </row>
    <row r="31" spans="1:102" s="31" customFormat="1" ht="16.5" customHeight="1" x14ac:dyDescent="0.3">
      <c r="A31" s="29">
        <v>27</v>
      </c>
      <c r="B31" s="30" t="s">
        <v>27</v>
      </c>
      <c r="D31" s="3">
        <v>867</v>
      </c>
      <c r="E31" s="3">
        <v>19415</v>
      </c>
      <c r="F31" s="3">
        <f t="shared" si="35"/>
        <v>18548</v>
      </c>
      <c r="G31" s="32">
        <f t="shared" si="1"/>
        <v>22.393310265282583</v>
      </c>
      <c r="I31" s="3">
        <v>1122</v>
      </c>
      <c r="J31" s="221"/>
      <c r="K31" s="33">
        <v>2601</v>
      </c>
      <c r="L31" s="222">
        <v>12723</v>
      </c>
      <c r="M31" s="3">
        <f t="shared" si="36"/>
        <v>10122</v>
      </c>
      <c r="N31" s="32">
        <f t="shared" si="2"/>
        <v>4.8915801614763552</v>
      </c>
      <c r="P31" s="3">
        <v>3366</v>
      </c>
      <c r="R31" s="3">
        <v>1301</v>
      </c>
      <c r="S31" s="223">
        <v>8030</v>
      </c>
      <c r="T31" s="3">
        <f t="shared" si="37"/>
        <v>6729</v>
      </c>
      <c r="U31" s="32">
        <f t="shared" si="4"/>
        <v>6.1721752498078404</v>
      </c>
      <c r="W31" s="3">
        <v>1683</v>
      </c>
      <c r="Y31" s="3">
        <v>2756</v>
      </c>
      <c r="Z31" s="223">
        <v>2415</v>
      </c>
      <c r="AA31" s="3">
        <f t="shared" si="38"/>
        <v>-341</v>
      </c>
      <c r="AB31" s="32">
        <f t="shared" si="32"/>
        <v>0.8762699564586357</v>
      </c>
      <c r="AD31" s="3">
        <v>3553</v>
      </c>
      <c r="AF31" s="3">
        <v>2911</v>
      </c>
      <c r="AG31" s="3">
        <v>45308</v>
      </c>
      <c r="AH31" s="3">
        <f t="shared" si="39"/>
        <v>42397</v>
      </c>
      <c r="AI31" s="32">
        <f t="shared" si="8"/>
        <v>15.56441085537616</v>
      </c>
      <c r="AK31" s="3">
        <v>3740</v>
      </c>
      <c r="AM31" s="3">
        <v>3345</v>
      </c>
      <c r="AN31" s="222">
        <v>1812</v>
      </c>
      <c r="AO31" s="3">
        <f t="shared" si="40"/>
        <v>-1533</v>
      </c>
      <c r="AP31" s="32">
        <f t="shared" si="10"/>
        <v>0.54170403587443949</v>
      </c>
      <c r="AR31" s="3">
        <v>4301</v>
      </c>
      <c r="AT31" s="3">
        <v>1332</v>
      </c>
      <c r="AU31" s="3">
        <v>48523.56</v>
      </c>
      <c r="AV31" s="3">
        <f t="shared" si="41"/>
        <v>47191.56</v>
      </c>
      <c r="AW31" s="32">
        <f t="shared" si="12"/>
        <v>36.429099099099098</v>
      </c>
      <c r="AY31" s="3">
        <v>1683</v>
      </c>
      <c r="BA31" s="3">
        <v>1798</v>
      </c>
      <c r="BB31" s="222">
        <v>6644</v>
      </c>
      <c r="BC31" s="222">
        <f t="shared" si="42"/>
        <v>4846</v>
      </c>
      <c r="BD31" s="32">
        <f t="shared" si="14"/>
        <v>3.6952169076751948</v>
      </c>
      <c r="BF31" s="3">
        <v>2244</v>
      </c>
      <c r="BH31" s="3">
        <v>3500</v>
      </c>
      <c r="BI31" s="222">
        <v>1812</v>
      </c>
      <c r="BJ31" s="222">
        <f t="shared" si="34"/>
        <v>-1688</v>
      </c>
      <c r="BK31" s="32">
        <f t="shared" si="16"/>
        <v>0.51771428571428568</v>
      </c>
      <c r="BM31" s="3">
        <v>4488</v>
      </c>
      <c r="BO31" s="3">
        <v>6535</v>
      </c>
      <c r="BP31" s="3">
        <v>36725</v>
      </c>
      <c r="BQ31" s="3">
        <f t="shared" si="43"/>
        <v>30190</v>
      </c>
      <c r="BR31" s="32">
        <f t="shared" si="18"/>
        <v>5.6197398622800305</v>
      </c>
      <c r="BT31" s="3">
        <v>148396</v>
      </c>
      <c r="BV31" s="3">
        <v>746</v>
      </c>
      <c r="BW31" s="34">
        <v>32409.25</v>
      </c>
      <c r="BX31" s="3">
        <f t="shared" si="44"/>
        <v>31663.25</v>
      </c>
      <c r="BY31" s="32">
        <f t="shared" si="20"/>
        <v>43.44403485254692</v>
      </c>
      <c r="CA31" s="3">
        <v>63290</v>
      </c>
      <c r="CC31" s="3">
        <v>2947</v>
      </c>
      <c r="CD31" s="3">
        <v>3020</v>
      </c>
      <c r="CE31" s="3">
        <f t="shared" si="45"/>
        <v>73</v>
      </c>
      <c r="CF31" s="32">
        <f t="shared" si="22"/>
        <v>1.0247709535120462</v>
      </c>
      <c r="CH31" s="3">
        <v>2992</v>
      </c>
      <c r="CJ31" s="225">
        <f t="shared" si="27"/>
        <v>27692</v>
      </c>
      <c r="CK31" s="3">
        <f t="shared" si="27"/>
        <v>215816.81</v>
      </c>
      <c r="CL31" s="3">
        <f t="shared" si="23"/>
        <v>188124.81</v>
      </c>
      <c r="CM31" s="32">
        <f t="shared" si="28"/>
        <v>7.7934713996822182</v>
      </c>
      <c r="CO31" s="3">
        <f t="shared" si="29"/>
        <v>237866</v>
      </c>
      <c r="CQ31" s="225">
        <f t="shared" si="24"/>
        <v>30639</v>
      </c>
      <c r="CR31" s="3">
        <f t="shared" si="24"/>
        <v>218836.81</v>
      </c>
      <c r="CS31" s="3">
        <f t="shared" si="33"/>
        <v>188124.81</v>
      </c>
      <c r="CT31" s="32">
        <f t="shared" si="26"/>
        <v>7.1424266457782561</v>
      </c>
      <c r="CV31" s="3">
        <v>240858</v>
      </c>
    </row>
    <row r="32" spans="1:102" s="31" customFormat="1" ht="16.5" customHeight="1" x14ac:dyDescent="0.3">
      <c r="A32" s="29">
        <v>28</v>
      </c>
      <c r="B32" s="30" t="s">
        <v>28</v>
      </c>
      <c r="D32" s="3">
        <v>2193954</v>
      </c>
      <c r="E32" s="3">
        <v>2040247.59</v>
      </c>
      <c r="F32" s="3">
        <f t="shared" si="35"/>
        <v>-153706.40999999992</v>
      </c>
      <c r="G32" s="32">
        <f t="shared" si="1"/>
        <v>0.92994091489611908</v>
      </c>
      <c r="I32" s="3">
        <v>2208296.65</v>
      </c>
      <c r="J32" s="221"/>
      <c r="K32" s="33">
        <v>767140</v>
      </c>
      <c r="L32" s="222">
        <v>1166306.8700000001</v>
      </c>
      <c r="M32" s="3">
        <f t="shared" si="36"/>
        <v>399166.87000000011</v>
      </c>
      <c r="N32" s="32">
        <f t="shared" si="2"/>
        <v>1.5203311911776209</v>
      </c>
      <c r="P32" s="3">
        <v>775821.01</v>
      </c>
      <c r="R32" s="3">
        <v>776412</v>
      </c>
      <c r="S32" s="223">
        <v>883957.21</v>
      </c>
      <c r="T32" s="3">
        <f t="shared" si="37"/>
        <v>107545.20999999996</v>
      </c>
      <c r="U32" s="32">
        <f t="shared" si="4"/>
        <v>1.138515646332102</v>
      </c>
      <c r="W32" s="3">
        <v>788786.35</v>
      </c>
      <c r="Y32" s="3">
        <v>358779</v>
      </c>
      <c r="Z32" s="223">
        <v>436226.72</v>
      </c>
      <c r="AA32" s="3">
        <f t="shared" si="38"/>
        <v>77447.719999999972</v>
      </c>
      <c r="AB32" s="32">
        <f t="shared" si="32"/>
        <v>1.2158646966516991</v>
      </c>
      <c r="AD32" s="3">
        <v>371439.88</v>
      </c>
      <c r="AF32" s="3">
        <v>488118</v>
      </c>
      <c r="AG32" s="3">
        <v>329656.82</v>
      </c>
      <c r="AH32" s="3">
        <f t="shared" si="39"/>
        <v>-158461.18</v>
      </c>
      <c r="AI32" s="32">
        <f t="shared" si="8"/>
        <v>0.67536296551243757</v>
      </c>
      <c r="AK32" s="3">
        <v>499056.92</v>
      </c>
      <c r="AM32" s="3">
        <v>551245</v>
      </c>
      <c r="AN32" s="222">
        <v>285231.78999999998</v>
      </c>
      <c r="AO32" s="3">
        <f t="shared" si="40"/>
        <v>-266013.21000000002</v>
      </c>
      <c r="AP32" s="32">
        <f t="shared" si="10"/>
        <v>0.5174319767072717</v>
      </c>
      <c r="AR32" s="3">
        <v>584635.44999999995</v>
      </c>
      <c r="AT32" s="3">
        <v>294414</v>
      </c>
      <c r="AU32" s="3">
        <v>338047.09</v>
      </c>
      <c r="AV32" s="3">
        <f t="shared" si="41"/>
        <v>43633.090000000026</v>
      </c>
      <c r="AW32" s="32">
        <f t="shared" si="12"/>
        <v>1.1482031764793794</v>
      </c>
      <c r="AY32" s="3">
        <v>302334.01</v>
      </c>
      <c r="BA32" s="3">
        <v>225271</v>
      </c>
      <c r="BB32" s="222">
        <v>420574.5</v>
      </c>
      <c r="BC32" s="222">
        <f t="shared" si="42"/>
        <v>195303.5</v>
      </c>
      <c r="BD32" s="32">
        <f t="shared" si="14"/>
        <v>1.8669713367455198</v>
      </c>
      <c r="BF32" s="3">
        <v>230896.76</v>
      </c>
      <c r="BH32" s="3">
        <v>207635</v>
      </c>
      <c r="BI32" s="222">
        <v>189807.38</v>
      </c>
      <c r="BJ32" s="222">
        <f t="shared" si="34"/>
        <v>-17827.619999999995</v>
      </c>
      <c r="BK32" s="32">
        <f t="shared" si="16"/>
        <v>0.91413962000626103</v>
      </c>
      <c r="BM32" s="3">
        <v>221708.07</v>
      </c>
      <c r="BO32" s="3">
        <v>293336</v>
      </c>
      <c r="BP32" s="3">
        <v>330686.68</v>
      </c>
      <c r="BQ32" s="3">
        <f t="shared" si="43"/>
        <v>37350.679999999993</v>
      </c>
      <c r="BR32" s="32">
        <f t="shared" si="18"/>
        <v>1.1273307060844902</v>
      </c>
      <c r="BT32" s="3">
        <v>307358.39</v>
      </c>
      <c r="BV32" s="3">
        <v>196629</v>
      </c>
      <c r="BW32" s="34">
        <v>204464.84</v>
      </c>
      <c r="BX32" s="3">
        <f t="shared" si="44"/>
        <v>7835.8399999999965</v>
      </c>
      <c r="BY32" s="32">
        <f t="shared" si="20"/>
        <v>1.0398508866952485</v>
      </c>
      <c r="CA32" s="3">
        <v>195509.91</v>
      </c>
      <c r="CC32" s="3">
        <v>212835</v>
      </c>
      <c r="CD32" s="3">
        <v>334629.73</v>
      </c>
      <c r="CE32" s="3">
        <f t="shared" si="45"/>
        <v>121794.72999999998</v>
      </c>
      <c r="CF32" s="32">
        <f t="shared" si="22"/>
        <v>1.5722495360255597</v>
      </c>
      <c r="CH32" s="3">
        <v>234868.18</v>
      </c>
      <c r="CJ32" s="225">
        <f t="shared" si="27"/>
        <v>6352933</v>
      </c>
      <c r="CK32" s="3">
        <f t="shared" si="27"/>
        <v>6625207.4899999993</v>
      </c>
      <c r="CL32" s="3">
        <f t="shared" si="23"/>
        <v>272274.48999999929</v>
      </c>
      <c r="CM32" s="32">
        <f t="shared" si="28"/>
        <v>1.0428580767340061</v>
      </c>
      <c r="CO32" s="3">
        <f t="shared" si="29"/>
        <v>6485843.4000000004</v>
      </c>
      <c r="CQ32" s="225">
        <f t="shared" si="24"/>
        <v>6565768</v>
      </c>
      <c r="CR32" s="3">
        <f t="shared" si="24"/>
        <v>6959837.2199999988</v>
      </c>
      <c r="CS32" s="3">
        <f t="shared" si="33"/>
        <v>272274.49000000011</v>
      </c>
      <c r="CT32" s="32">
        <f t="shared" si="26"/>
        <v>1.0600187548509175</v>
      </c>
      <c r="CV32" s="3">
        <v>6720711.5800000001</v>
      </c>
    </row>
    <row r="33" spans="1:102" s="31" customFormat="1" ht="16.5" customHeight="1" x14ac:dyDescent="0.3">
      <c r="A33" s="29">
        <v>29</v>
      </c>
      <c r="B33" s="30" t="s">
        <v>29</v>
      </c>
      <c r="D33" s="3">
        <v>71689</v>
      </c>
      <c r="E33" s="3">
        <v>144367.5</v>
      </c>
      <c r="F33" s="3">
        <f t="shared" si="35"/>
        <v>72678.5</v>
      </c>
      <c r="G33" s="32">
        <f t="shared" si="1"/>
        <v>2.0138026754453264</v>
      </c>
      <c r="I33" s="3">
        <v>76319</v>
      </c>
      <c r="J33" s="221"/>
      <c r="K33" s="33">
        <v>101782</v>
      </c>
      <c r="L33" s="222">
        <v>146796.5</v>
      </c>
      <c r="M33" s="3">
        <f t="shared" si="36"/>
        <v>45014.5</v>
      </c>
      <c r="N33" s="32">
        <f t="shared" si="2"/>
        <v>1.4422638580495568</v>
      </c>
      <c r="P33" s="3">
        <v>107586</v>
      </c>
      <c r="R33" s="3">
        <v>71339</v>
      </c>
      <c r="S33" s="223">
        <v>154589.9</v>
      </c>
      <c r="T33" s="3">
        <f t="shared" si="37"/>
        <v>83250.899999999994</v>
      </c>
      <c r="U33" s="32">
        <f t="shared" si="4"/>
        <v>2.1669759878888124</v>
      </c>
      <c r="W33" s="3">
        <v>77510</v>
      </c>
      <c r="Y33" s="3">
        <v>73144</v>
      </c>
      <c r="Z33" s="223">
        <v>199950</v>
      </c>
      <c r="AA33" s="3">
        <f t="shared" si="38"/>
        <v>126806</v>
      </c>
      <c r="AB33" s="32">
        <f t="shared" si="32"/>
        <v>2.7336486929891719</v>
      </c>
      <c r="AD33" s="3">
        <v>77519</v>
      </c>
      <c r="AF33" s="3">
        <v>101944</v>
      </c>
      <c r="AG33" s="3">
        <v>139632.29999999999</v>
      </c>
      <c r="AH33" s="3">
        <f t="shared" si="39"/>
        <v>37688.299999999988</v>
      </c>
      <c r="AI33" s="32">
        <f t="shared" si="8"/>
        <v>1.3696961076669543</v>
      </c>
      <c r="AK33" s="3">
        <v>108448</v>
      </c>
      <c r="AM33" s="3">
        <v>85844</v>
      </c>
      <c r="AN33" s="222">
        <v>153693</v>
      </c>
      <c r="AO33" s="3">
        <f t="shared" si="40"/>
        <v>67849</v>
      </c>
      <c r="AP33" s="32">
        <f t="shared" si="10"/>
        <v>1.7903755649783328</v>
      </c>
      <c r="AR33" s="3">
        <v>93157</v>
      </c>
      <c r="AT33" s="3">
        <v>74592</v>
      </c>
      <c r="AU33" s="3">
        <v>246004.5</v>
      </c>
      <c r="AV33" s="3">
        <f t="shared" si="41"/>
        <v>171412.5</v>
      </c>
      <c r="AW33" s="32">
        <f t="shared" si="12"/>
        <v>3.2980011261261262</v>
      </c>
      <c r="AY33" s="3">
        <v>83356</v>
      </c>
      <c r="BA33" s="3">
        <v>85885</v>
      </c>
      <c r="BB33" s="222">
        <v>105105</v>
      </c>
      <c r="BC33" s="222">
        <f t="shared" si="42"/>
        <v>19220</v>
      </c>
      <c r="BD33" s="32">
        <f t="shared" si="14"/>
        <v>1.2237876229842231</v>
      </c>
      <c r="BF33" s="3">
        <v>95548</v>
      </c>
      <c r="BH33" s="3">
        <v>76287</v>
      </c>
      <c r="BI33" s="222">
        <v>120554</v>
      </c>
      <c r="BJ33" s="222">
        <f t="shared" si="34"/>
        <v>44267</v>
      </c>
      <c r="BK33" s="32">
        <f t="shared" si="16"/>
        <v>1.5802692463984689</v>
      </c>
      <c r="BM33" s="3">
        <v>85514</v>
      </c>
      <c r="BO33" s="3">
        <v>77476</v>
      </c>
      <c r="BP33" s="3">
        <v>235462.5</v>
      </c>
      <c r="BQ33" s="3">
        <f t="shared" si="43"/>
        <v>157986.5</v>
      </c>
      <c r="BR33" s="32">
        <f t="shared" si="18"/>
        <v>3.0391669678352007</v>
      </c>
      <c r="BT33" s="3">
        <v>85083</v>
      </c>
      <c r="BV33" s="3">
        <v>48960</v>
      </c>
      <c r="BW33" s="34">
        <v>236040</v>
      </c>
      <c r="BX33" s="3">
        <f t="shared" si="44"/>
        <v>187080</v>
      </c>
      <c r="BY33" s="32">
        <f t="shared" si="20"/>
        <v>4.8210784313725492</v>
      </c>
      <c r="CA33" s="3">
        <v>117812</v>
      </c>
      <c r="CC33" s="3">
        <v>74575</v>
      </c>
      <c r="CD33" s="3">
        <v>299689.40000000002</v>
      </c>
      <c r="CE33" s="3">
        <f t="shared" si="45"/>
        <v>225114.40000000002</v>
      </c>
      <c r="CF33" s="32">
        <f t="shared" si="22"/>
        <v>4.0186309084813949</v>
      </c>
      <c r="CH33" s="3">
        <v>222579</v>
      </c>
      <c r="CJ33" s="225">
        <f t="shared" si="27"/>
        <v>868942</v>
      </c>
      <c r="CK33" s="3">
        <f t="shared" si="27"/>
        <v>1882195.2</v>
      </c>
      <c r="CL33" s="3">
        <f t="shared" si="23"/>
        <v>1013253.2</v>
      </c>
      <c r="CM33" s="32">
        <f t="shared" si="28"/>
        <v>2.1660769073194759</v>
      </c>
      <c r="CO33" s="3">
        <f t="shared" si="29"/>
        <v>1007852</v>
      </c>
      <c r="CQ33" s="225">
        <f t="shared" si="24"/>
        <v>943517</v>
      </c>
      <c r="CR33" s="3">
        <f t="shared" si="24"/>
        <v>2181884.6</v>
      </c>
      <c r="CS33" s="3">
        <f t="shared" si="33"/>
        <v>1013253.2</v>
      </c>
      <c r="CT33" s="32">
        <f t="shared" si="26"/>
        <v>2.3125016295413863</v>
      </c>
      <c r="CV33" s="3">
        <v>1230431</v>
      </c>
    </row>
    <row r="34" spans="1:102" s="31" customFormat="1" ht="16.5" customHeight="1" x14ac:dyDescent="0.3">
      <c r="A34" s="29">
        <v>30</v>
      </c>
      <c r="B34" s="30" t="s">
        <v>30</v>
      </c>
      <c r="D34" s="3">
        <v>1089242</v>
      </c>
      <c r="E34" s="3">
        <v>1176400.6599999999</v>
      </c>
      <c r="F34" s="3">
        <f t="shared" si="35"/>
        <v>87158.659999999916</v>
      </c>
      <c r="G34" s="32">
        <f t="shared" si="1"/>
        <v>1.0800177187438604</v>
      </c>
      <c r="I34" s="3">
        <v>980713.87</v>
      </c>
      <c r="J34" s="221"/>
      <c r="K34" s="33">
        <v>840921</v>
      </c>
      <c r="L34" s="222">
        <v>742790.97</v>
      </c>
      <c r="M34" s="3">
        <f t="shared" si="36"/>
        <v>-98130.030000000028</v>
      </c>
      <c r="N34" s="32">
        <f t="shared" si="2"/>
        <v>0.88330648182171689</v>
      </c>
      <c r="P34" s="3">
        <v>756813.57</v>
      </c>
      <c r="R34" s="3">
        <v>891661</v>
      </c>
      <c r="S34" s="223">
        <v>696361.6</v>
      </c>
      <c r="T34" s="3">
        <f t="shared" si="37"/>
        <v>-195299.40000000002</v>
      </c>
      <c r="U34" s="32">
        <f t="shared" si="4"/>
        <v>0.78097124355556646</v>
      </c>
      <c r="W34" s="3">
        <v>802003.35000000009</v>
      </c>
      <c r="Y34" s="3">
        <v>777540</v>
      </c>
      <c r="Z34" s="223">
        <v>782456.98</v>
      </c>
      <c r="AA34" s="3">
        <f t="shared" si="38"/>
        <v>4916.9799999999814</v>
      </c>
      <c r="AB34" s="32">
        <f t="shared" si="32"/>
        <v>1.0063237646937777</v>
      </c>
      <c r="AD34" s="3">
        <v>699923.01</v>
      </c>
      <c r="AF34" s="3">
        <v>902171</v>
      </c>
      <c r="AG34" s="3">
        <v>820775.61</v>
      </c>
      <c r="AH34" s="3">
        <f t="shared" si="39"/>
        <v>-81395.390000000014</v>
      </c>
      <c r="AI34" s="32">
        <f t="shared" si="8"/>
        <v>0.90977831253720187</v>
      </c>
      <c r="AK34" s="3">
        <v>812601.06</v>
      </c>
      <c r="AM34" s="3">
        <v>886765</v>
      </c>
      <c r="AN34" s="222">
        <v>789254.83</v>
      </c>
      <c r="AO34" s="3">
        <f t="shared" si="40"/>
        <v>-97510.170000000042</v>
      </c>
      <c r="AP34" s="32">
        <f t="shared" si="10"/>
        <v>0.89003831905860065</v>
      </c>
      <c r="AR34" s="3">
        <v>798124.2</v>
      </c>
      <c r="AT34" s="3">
        <v>911090</v>
      </c>
      <c r="AU34" s="3">
        <v>808668.2</v>
      </c>
      <c r="AV34" s="3">
        <f t="shared" si="41"/>
        <v>-102421.80000000005</v>
      </c>
      <c r="AW34" s="32">
        <f t="shared" si="12"/>
        <v>0.8875832244893479</v>
      </c>
      <c r="AY34" s="3">
        <v>820207.13</v>
      </c>
      <c r="BA34" s="3">
        <v>938862</v>
      </c>
      <c r="BB34" s="222">
        <v>790496.19</v>
      </c>
      <c r="BC34" s="222">
        <f t="shared" si="42"/>
        <v>-148365.81000000006</v>
      </c>
      <c r="BD34" s="32">
        <f t="shared" si="14"/>
        <v>0.84197271803523832</v>
      </c>
      <c r="BF34" s="3">
        <v>846668.52</v>
      </c>
      <c r="BH34" s="3">
        <v>433347</v>
      </c>
      <c r="BI34" s="222">
        <v>475578.33</v>
      </c>
      <c r="BJ34" s="222">
        <f t="shared" si="34"/>
        <v>42231.330000000016</v>
      </c>
      <c r="BK34" s="32">
        <f t="shared" si="16"/>
        <v>1.0974538418403728</v>
      </c>
      <c r="BM34" s="3">
        <v>769116.02</v>
      </c>
      <c r="BO34" s="3">
        <v>890229</v>
      </c>
      <c r="BP34" s="3">
        <v>1029579.81</v>
      </c>
      <c r="BQ34" s="3">
        <f t="shared" si="43"/>
        <v>139350.81000000006</v>
      </c>
      <c r="BR34" s="32">
        <f t="shared" si="18"/>
        <v>1.1565336671800177</v>
      </c>
      <c r="BT34" s="3">
        <v>776999.37</v>
      </c>
      <c r="BV34" s="3">
        <v>857030</v>
      </c>
      <c r="BW34" s="34">
        <v>811425.37</v>
      </c>
      <c r="BX34" s="3">
        <f t="shared" si="44"/>
        <v>-45604.630000000005</v>
      </c>
      <c r="BY34" s="32">
        <f t="shared" si="20"/>
        <v>0.94678759203295104</v>
      </c>
      <c r="CA34" s="3">
        <v>754847.59</v>
      </c>
      <c r="CC34" s="3">
        <v>606166</v>
      </c>
      <c r="CD34" s="3">
        <v>990333.51</v>
      </c>
      <c r="CE34" s="3">
        <f t="shared" si="45"/>
        <v>384167.51</v>
      </c>
      <c r="CF34" s="32">
        <f t="shared" si="22"/>
        <v>1.6337661795613743</v>
      </c>
      <c r="CH34" s="3">
        <v>884330.81</v>
      </c>
      <c r="CJ34" s="225">
        <f t="shared" si="27"/>
        <v>9418858</v>
      </c>
      <c r="CK34" s="3">
        <f t="shared" si="27"/>
        <v>8923788.5500000007</v>
      </c>
      <c r="CL34" s="3">
        <f t="shared" si="23"/>
        <v>-495069.44999999925</v>
      </c>
      <c r="CM34" s="32">
        <f t="shared" si="28"/>
        <v>0.94743848458061486</v>
      </c>
      <c r="CO34" s="3">
        <f t="shared" si="29"/>
        <v>8818017.6899999995</v>
      </c>
      <c r="CQ34" s="225">
        <f t="shared" si="24"/>
        <v>10025024</v>
      </c>
      <c r="CR34" s="3">
        <f t="shared" si="24"/>
        <v>9914122.0600000005</v>
      </c>
      <c r="CS34" s="3">
        <f t="shared" si="33"/>
        <v>-495069.4500000003</v>
      </c>
      <c r="CT34" s="32">
        <f t="shared" si="26"/>
        <v>0.98893748882795696</v>
      </c>
      <c r="CV34" s="3">
        <v>9702348.5</v>
      </c>
    </row>
    <row r="35" spans="1:102" s="31" customFormat="1" ht="16.5" customHeight="1" x14ac:dyDescent="0.3">
      <c r="A35" s="29">
        <v>31</v>
      </c>
      <c r="B35" s="30" t="s">
        <v>31</v>
      </c>
      <c r="D35" s="3">
        <v>0</v>
      </c>
      <c r="E35" s="3">
        <v>0</v>
      </c>
      <c r="F35" s="3">
        <f t="shared" si="35"/>
        <v>0</v>
      </c>
      <c r="G35" s="32">
        <f t="shared" si="1"/>
        <v>0</v>
      </c>
      <c r="I35" s="3">
        <v>0</v>
      </c>
      <c r="J35" s="221"/>
      <c r="K35" s="33">
        <v>0</v>
      </c>
      <c r="L35" s="222">
        <v>0</v>
      </c>
      <c r="M35" s="3">
        <f t="shared" si="36"/>
        <v>0</v>
      </c>
      <c r="N35" s="32">
        <f t="shared" si="2"/>
        <v>0</v>
      </c>
      <c r="P35" s="3">
        <v>0</v>
      </c>
      <c r="R35" s="3">
        <v>0</v>
      </c>
      <c r="S35" s="3">
        <v>0</v>
      </c>
      <c r="T35" s="3">
        <f t="shared" si="37"/>
        <v>0</v>
      </c>
      <c r="U35" s="32">
        <f t="shared" si="4"/>
        <v>0</v>
      </c>
      <c r="W35" s="3"/>
      <c r="Y35" s="3">
        <v>0</v>
      </c>
      <c r="Z35" s="3">
        <v>0</v>
      </c>
      <c r="AA35" s="3">
        <f t="shared" si="38"/>
        <v>0</v>
      </c>
      <c r="AB35" s="32">
        <f t="shared" si="32"/>
        <v>0</v>
      </c>
      <c r="AD35" s="3">
        <v>0</v>
      </c>
      <c r="AF35" s="3">
        <v>0</v>
      </c>
      <c r="AG35" s="3"/>
      <c r="AH35" s="3">
        <f t="shared" si="39"/>
        <v>0</v>
      </c>
      <c r="AI35" s="32">
        <f t="shared" si="8"/>
        <v>0</v>
      </c>
      <c r="AK35" s="3">
        <v>0</v>
      </c>
      <c r="AM35" s="3">
        <v>0</v>
      </c>
      <c r="AN35" s="222">
        <v>0</v>
      </c>
      <c r="AO35" s="3">
        <f t="shared" si="40"/>
        <v>0</v>
      </c>
      <c r="AP35" s="32">
        <f t="shared" si="10"/>
        <v>0</v>
      </c>
      <c r="AR35" s="3">
        <v>0</v>
      </c>
      <c r="AT35" s="3">
        <v>0</v>
      </c>
      <c r="AU35" s="3">
        <v>0</v>
      </c>
      <c r="AV35" s="3">
        <f t="shared" si="41"/>
        <v>0</v>
      </c>
      <c r="AW35" s="32">
        <f t="shared" si="12"/>
        <v>0</v>
      </c>
      <c r="AY35" s="3">
        <v>0</v>
      </c>
      <c r="BA35" s="3">
        <v>0</v>
      </c>
      <c r="BB35" s="3">
        <v>0</v>
      </c>
      <c r="BC35" s="222">
        <f t="shared" si="42"/>
        <v>0</v>
      </c>
      <c r="BD35" s="32">
        <f t="shared" si="14"/>
        <v>0</v>
      </c>
      <c r="BF35" s="3">
        <v>0</v>
      </c>
      <c r="BH35" s="3">
        <v>0</v>
      </c>
      <c r="BI35" s="3">
        <v>0</v>
      </c>
      <c r="BJ35" s="222">
        <f t="shared" si="34"/>
        <v>0</v>
      </c>
      <c r="BK35" s="32">
        <f t="shared" si="16"/>
        <v>0</v>
      </c>
      <c r="BM35" s="3">
        <v>0</v>
      </c>
      <c r="BO35" s="3">
        <v>0</v>
      </c>
      <c r="BP35" s="3">
        <v>0</v>
      </c>
      <c r="BQ35" s="3">
        <f t="shared" si="43"/>
        <v>0</v>
      </c>
      <c r="BR35" s="32">
        <f t="shared" si="18"/>
        <v>0</v>
      </c>
      <c r="BT35" s="3">
        <v>0</v>
      </c>
      <c r="BV35" s="3">
        <v>0</v>
      </c>
      <c r="BW35" s="34">
        <v>0</v>
      </c>
      <c r="BX35" s="3">
        <f t="shared" si="44"/>
        <v>0</v>
      </c>
      <c r="BY35" s="32">
        <f t="shared" si="20"/>
        <v>0</v>
      </c>
      <c r="CA35" s="3">
        <v>0</v>
      </c>
      <c r="CC35" s="3">
        <v>0</v>
      </c>
      <c r="CD35" s="3">
        <v>0</v>
      </c>
      <c r="CE35" s="3">
        <f t="shared" si="45"/>
        <v>0</v>
      </c>
      <c r="CF35" s="32">
        <f t="shared" si="22"/>
        <v>0</v>
      </c>
      <c r="CH35" s="3">
        <v>0</v>
      </c>
      <c r="CJ35" s="225">
        <f t="shared" si="27"/>
        <v>0</v>
      </c>
      <c r="CK35" s="3">
        <f t="shared" si="27"/>
        <v>0</v>
      </c>
      <c r="CL35" s="3">
        <f t="shared" si="23"/>
        <v>0</v>
      </c>
      <c r="CM35" s="32">
        <f t="shared" si="28"/>
        <v>0</v>
      </c>
      <c r="CO35" s="3">
        <f t="shared" si="29"/>
        <v>0</v>
      </c>
      <c r="CQ35" s="225">
        <f t="shared" si="24"/>
        <v>0</v>
      </c>
      <c r="CR35" s="3">
        <f t="shared" si="24"/>
        <v>0</v>
      </c>
      <c r="CS35" s="3">
        <f t="shared" si="33"/>
        <v>0</v>
      </c>
      <c r="CT35" s="32">
        <f t="shared" si="26"/>
        <v>0</v>
      </c>
      <c r="CV35" s="3">
        <v>0</v>
      </c>
    </row>
    <row r="36" spans="1:102" s="31" customFormat="1" ht="16.5" customHeight="1" x14ac:dyDescent="0.3">
      <c r="A36" s="29">
        <v>32</v>
      </c>
      <c r="B36" s="30" t="s">
        <v>32</v>
      </c>
      <c r="D36" s="3">
        <v>408045</v>
      </c>
      <c r="E36" s="3">
        <v>352974</v>
      </c>
      <c r="F36" s="3">
        <f t="shared" si="35"/>
        <v>-55071</v>
      </c>
      <c r="G36" s="32">
        <f t="shared" si="1"/>
        <v>0.86503694445465573</v>
      </c>
      <c r="I36" s="3">
        <v>415575</v>
      </c>
      <c r="J36" s="221"/>
      <c r="K36" s="33">
        <v>555350</v>
      </c>
      <c r="L36" s="222">
        <v>624514</v>
      </c>
      <c r="M36" s="3">
        <f t="shared" si="36"/>
        <v>69164</v>
      </c>
      <c r="N36" s="32">
        <f t="shared" si="2"/>
        <v>1.1245412802737014</v>
      </c>
      <c r="P36" s="3">
        <v>565077</v>
      </c>
      <c r="R36" s="3">
        <v>956108</v>
      </c>
      <c r="S36" s="223">
        <v>588357</v>
      </c>
      <c r="T36" s="3">
        <f t="shared" si="37"/>
        <v>-367751</v>
      </c>
      <c r="U36" s="32">
        <f t="shared" si="4"/>
        <v>0.61536667405774248</v>
      </c>
      <c r="W36" s="3">
        <v>972994</v>
      </c>
      <c r="Y36" s="3">
        <v>243747</v>
      </c>
      <c r="Z36" s="223">
        <v>969662</v>
      </c>
      <c r="AA36" s="3">
        <f t="shared" si="38"/>
        <v>725915</v>
      </c>
      <c r="AB36" s="32">
        <f t="shared" si="32"/>
        <v>3.9781494746602011</v>
      </c>
      <c r="AD36" s="3">
        <v>249060</v>
      </c>
      <c r="AF36" s="3">
        <v>268474</v>
      </c>
      <c r="AG36" s="3">
        <v>399847</v>
      </c>
      <c r="AH36" s="3">
        <f t="shared" si="39"/>
        <v>131373</v>
      </c>
      <c r="AI36" s="32">
        <f t="shared" si="8"/>
        <v>1.4893323003344829</v>
      </c>
      <c r="AK36" s="3">
        <v>273866</v>
      </c>
      <c r="AM36" s="3">
        <v>195003</v>
      </c>
      <c r="AN36" s="222">
        <v>924587</v>
      </c>
      <c r="AO36" s="3">
        <f t="shared" si="40"/>
        <v>729584</v>
      </c>
      <c r="AP36" s="32">
        <f t="shared" si="10"/>
        <v>4.7413988502740985</v>
      </c>
      <c r="AR36" s="3">
        <v>199016</v>
      </c>
      <c r="AT36" s="3">
        <v>421444</v>
      </c>
      <c r="AU36" s="3">
        <v>791251</v>
      </c>
      <c r="AV36" s="3">
        <f t="shared" si="41"/>
        <v>369807</v>
      </c>
      <c r="AW36" s="32">
        <f t="shared" si="12"/>
        <v>1.8774760110477311</v>
      </c>
      <c r="AY36" s="3">
        <v>429818</v>
      </c>
      <c r="BA36" s="3">
        <v>399309</v>
      </c>
      <c r="BB36" s="222">
        <v>326479</v>
      </c>
      <c r="BC36" s="222">
        <f t="shared" si="42"/>
        <v>-72830</v>
      </c>
      <c r="BD36" s="32">
        <f t="shared" si="14"/>
        <v>0.81760992113876718</v>
      </c>
      <c r="BF36" s="3">
        <v>406642</v>
      </c>
      <c r="BH36" s="3">
        <v>326151</v>
      </c>
      <c r="BI36" s="222">
        <v>581199</v>
      </c>
      <c r="BJ36" s="222">
        <f t="shared" si="34"/>
        <v>255048</v>
      </c>
      <c r="BK36" s="32">
        <f t="shared" si="16"/>
        <v>1.7819936164537284</v>
      </c>
      <c r="BM36" s="3">
        <v>332436</v>
      </c>
      <c r="BO36" s="3">
        <v>692289</v>
      </c>
      <c r="BP36" s="3">
        <v>651252</v>
      </c>
      <c r="BQ36" s="3">
        <f t="shared" si="43"/>
        <v>-41037</v>
      </c>
      <c r="BR36" s="32">
        <f t="shared" si="18"/>
        <v>0.94072273284712016</v>
      </c>
      <c r="BT36" s="3">
        <v>707117</v>
      </c>
      <c r="BV36" s="3">
        <v>199518</v>
      </c>
      <c r="BW36" s="34">
        <v>177344</v>
      </c>
      <c r="BX36" s="3">
        <f t="shared" si="44"/>
        <v>-22174</v>
      </c>
      <c r="BY36" s="32">
        <f t="shared" si="20"/>
        <v>0.88886215780029876</v>
      </c>
      <c r="CA36" s="3">
        <v>597410</v>
      </c>
      <c r="CC36" s="3">
        <v>297906</v>
      </c>
      <c r="CD36" s="3">
        <v>411988</v>
      </c>
      <c r="CE36" s="3">
        <f t="shared" si="45"/>
        <v>114082</v>
      </c>
      <c r="CF36" s="32">
        <f t="shared" si="22"/>
        <v>1.3829462984968413</v>
      </c>
      <c r="CH36" s="3">
        <v>716133</v>
      </c>
      <c r="CJ36" s="225">
        <f t="shared" si="27"/>
        <v>4665438</v>
      </c>
      <c r="CK36" s="3">
        <f t="shared" si="27"/>
        <v>6387466</v>
      </c>
      <c r="CL36" s="3">
        <f t="shared" si="23"/>
        <v>1722028</v>
      </c>
      <c r="CM36" s="32">
        <f t="shared" si="28"/>
        <v>1.3691031795942845</v>
      </c>
      <c r="CO36" s="3">
        <f t="shared" si="29"/>
        <v>5149011</v>
      </c>
      <c r="CQ36" s="225">
        <f t="shared" si="24"/>
        <v>4963344</v>
      </c>
      <c r="CR36" s="3">
        <f t="shared" si="24"/>
        <v>6799454</v>
      </c>
      <c r="CS36" s="3">
        <f t="shared" si="33"/>
        <v>1722028</v>
      </c>
      <c r="CT36" s="32">
        <f t="shared" si="26"/>
        <v>1.3699340605849604</v>
      </c>
      <c r="CV36" s="3">
        <v>5865144</v>
      </c>
    </row>
    <row r="37" spans="1:102" s="31" customFormat="1" ht="16.5" customHeight="1" x14ac:dyDescent="0.3">
      <c r="A37" s="29">
        <v>33</v>
      </c>
      <c r="B37" s="30" t="s">
        <v>98</v>
      </c>
      <c r="D37" s="3">
        <v>0</v>
      </c>
      <c r="E37" s="3">
        <v>0</v>
      </c>
      <c r="F37" s="3">
        <f t="shared" si="35"/>
        <v>0</v>
      </c>
      <c r="G37" s="32">
        <f t="shared" si="1"/>
        <v>0</v>
      </c>
      <c r="I37" s="3">
        <v>0</v>
      </c>
      <c r="J37" s="221"/>
      <c r="K37" s="253">
        <v>0</v>
      </c>
      <c r="L37" s="222">
        <v>0</v>
      </c>
      <c r="M37" s="3">
        <f t="shared" si="36"/>
        <v>0</v>
      </c>
      <c r="N37" s="32">
        <f t="shared" si="2"/>
        <v>0</v>
      </c>
      <c r="P37" s="3">
        <v>0</v>
      </c>
      <c r="R37" s="3">
        <v>0</v>
      </c>
      <c r="S37" s="3">
        <v>0</v>
      </c>
      <c r="T37" s="3">
        <f t="shared" si="37"/>
        <v>0</v>
      </c>
      <c r="U37" s="32">
        <f t="shared" si="4"/>
        <v>0</v>
      </c>
      <c r="W37" s="3"/>
      <c r="Y37" s="3">
        <v>0</v>
      </c>
      <c r="Z37" s="3">
        <v>0</v>
      </c>
      <c r="AA37" s="3">
        <f t="shared" si="38"/>
        <v>0</v>
      </c>
      <c r="AB37" s="32">
        <f t="shared" si="32"/>
        <v>0</v>
      </c>
      <c r="AD37" s="3">
        <v>0</v>
      </c>
      <c r="AF37" s="3">
        <v>0</v>
      </c>
      <c r="AG37" s="3">
        <v>0</v>
      </c>
      <c r="AH37" s="3">
        <f t="shared" si="39"/>
        <v>0</v>
      </c>
      <c r="AI37" s="32">
        <f t="shared" si="8"/>
        <v>0</v>
      </c>
      <c r="AK37" s="3">
        <v>0</v>
      </c>
      <c r="AM37" s="3">
        <v>0</v>
      </c>
      <c r="AN37" s="222">
        <v>0</v>
      </c>
      <c r="AO37" s="3">
        <f t="shared" si="40"/>
        <v>0</v>
      </c>
      <c r="AP37" s="32">
        <f t="shared" si="10"/>
        <v>0</v>
      </c>
      <c r="AR37" s="3">
        <v>0</v>
      </c>
      <c r="AT37" s="9">
        <v>0</v>
      </c>
      <c r="AU37" s="9">
        <v>0</v>
      </c>
      <c r="AV37" s="3">
        <f t="shared" si="41"/>
        <v>0</v>
      </c>
      <c r="AW37" s="32">
        <f t="shared" si="12"/>
        <v>0</v>
      </c>
      <c r="AY37" s="3">
        <v>0</v>
      </c>
      <c r="BA37" s="3">
        <v>0</v>
      </c>
      <c r="BB37" s="3">
        <v>0</v>
      </c>
      <c r="BC37" s="222">
        <f t="shared" si="42"/>
        <v>0</v>
      </c>
      <c r="BD37" s="32">
        <f t="shared" si="14"/>
        <v>0</v>
      </c>
      <c r="BF37" s="3">
        <v>0</v>
      </c>
      <c r="BH37" s="3">
        <v>0</v>
      </c>
      <c r="BI37" s="3">
        <v>0</v>
      </c>
      <c r="BJ37" s="222">
        <f t="shared" si="34"/>
        <v>0</v>
      </c>
      <c r="BK37" s="32">
        <f t="shared" si="16"/>
        <v>0</v>
      </c>
      <c r="BM37" s="3">
        <v>0</v>
      </c>
      <c r="BO37" s="3">
        <v>0</v>
      </c>
      <c r="BP37" s="3">
        <v>0</v>
      </c>
      <c r="BQ37" s="3">
        <f t="shared" si="43"/>
        <v>0</v>
      </c>
      <c r="BR37" s="32">
        <f t="shared" si="18"/>
        <v>0</v>
      </c>
      <c r="BT37" s="3">
        <v>0</v>
      </c>
      <c r="BV37" s="34">
        <v>0</v>
      </c>
      <c r="BW37" s="34">
        <v>0</v>
      </c>
      <c r="BX37" s="3">
        <f t="shared" si="44"/>
        <v>0</v>
      </c>
      <c r="BY37" s="32">
        <f t="shared" si="20"/>
        <v>0</v>
      </c>
      <c r="CA37" s="3">
        <v>0</v>
      </c>
      <c r="CC37" s="3">
        <v>0</v>
      </c>
      <c r="CD37" s="3">
        <v>0</v>
      </c>
      <c r="CE37" s="3">
        <f t="shared" si="45"/>
        <v>0</v>
      </c>
      <c r="CF37" s="32">
        <f t="shared" si="22"/>
        <v>0</v>
      </c>
      <c r="CH37" s="3">
        <v>0</v>
      </c>
      <c r="CJ37" s="225">
        <f t="shared" si="27"/>
        <v>0</v>
      </c>
      <c r="CK37" s="3">
        <f t="shared" si="27"/>
        <v>0</v>
      </c>
      <c r="CL37" s="3">
        <f t="shared" si="23"/>
        <v>0</v>
      </c>
      <c r="CM37" s="32">
        <f t="shared" si="28"/>
        <v>0</v>
      </c>
      <c r="CO37" s="3">
        <f t="shared" si="29"/>
        <v>0</v>
      </c>
      <c r="CQ37" s="225">
        <f t="shared" si="24"/>
        <v>0</v>
      </c>
      <c r="CR37" s="3">
        <f t="shared" si="24"/>
        <v>0</v>
      </c>
      <c r="CS37" s="3">
        <f t="shared" si="33"/>
        <v>0</v>
      </c>
      <c r="CT37" s="32">
        <f t="shared" si="26"/>
        <v>0</v>
      </c>
      <c r="CV37" s="3">
        <v>0</v>
      </c>
    </row>
    <row r="38" spans="1:102" s="31" customFormat="1" ht="16.5" customHeight="1" x14ac:dyDescent="0.3">
      <c r="A38" s="29">
        <v>34</v>
      </c>
      <c r="B38" s="30" t="s">
        <v>34</v>
      </c>
      <c r="D38" s="3">
        <v>1755975</v>
      </c>
      <c r="E38" s="3">
        <v>1427042.09</v>
      </c>
      <c r="F38" s="3">
        <f t="shared" si="35"/>
        <v>-328932.90999999992</v>
      </c>
      <c r="G38" s="32">
        <f t="shared" si="1"/>
        <v>0.81267790828457132</v>
      </c>
      <c r="I38" s="3">
        <v>1781144.09</v>
      </c>
      <c r="J38" s="221"/>
      <c r="K38" s="33">
        <v>1612865</v>
      </c>
      <c r="L38" s="222">
        <v>1259631.3799999999</v>
      </c>
      <c r="M38" s="3">
        <f t="shared" si="36"/>
        <v>-353233.62000000011</v>
      </c>
      <c r="N38" s="32">
        <f t="shared" si="2"/>
        <v>0.78098996506217189</v>
      </c>
      <c r="P38" s="3">
        <v>1616067.36</v>
      </c>
      <c r="R38" s="9">
        <v>1219212</v>
      </c>
      <c r="S38" s="223">
        <v>1795810.64</v>
      </c>
      <c r="T38" s="3">
        <f t="shared" si="37"/>
        <v>576598.6399999999</v>
      </c>
      <c r="U38" s="32">
        <f t="shared" si="4"/>
        <v>1.4729273005843118</v>
      </c>
      <c r="W38" s="3">
        <v>1282840.46</v>
      </c>
      <c r="Y38" s="3">
        <v>1243896</v>
      </c>
      <c r="Z38" s="223">
        <v>1599045.16</v>
      </c>
      <c r="AA38" s="3">
        <f t="shared" si="38"/>
        <v>355149.15999999992</v>
      </c>
      <c r="AB38" s="32">
        <f t="shared" si="32"/>
        <v>1.2855135477564039</v>
      </c>
      <c r="AD38" s="3">
        <v>2072686.35</v>
      </c>
      <c r="AF38" s="3">
        <v>1127638</v>
      </c>
      <c r="AG38" s="3">
        <v>2655762.56</v>
      </c>
      <c r="AH38" s="3">
        <f t="shared" si="39"/>
        <v>1528124.56</v>
      </c>
      <c r="AI38" s="32">
        <f t="shared" si="8"/>
        <v>2.3551552537250431</v>
      </c>
      <c r="AK38" s="3">
        <v>1208669.53</v>
      </c>
      <c r="AM38" s="3">
        <v>976998</v>
      </c>
      <c r="AN38" s="222">
        <v>851007.79</v>
      </c>
      <c r="AO38" s="3">
        <f t="shared" si="40"/>
        <v>-125990.20999999996</v>
      </c>
      <c r="AP38" s="32">
        <f t="shared" si="10"/>
        <v>0.87104353335421369</v>
      </c>
      <c r="AR38" s="3">
        <v>1247838.6399999999</v>
      </c>
      <c r="AT38" s="3">
        <v>755250</v>
      </c>
      <c r="AU38" s="3">
        <v>865098.66</v>
      </c>
      <c r="AV38" s="3">
        <f t="shared" si="41"/>
        <v>109848.66000000003</v>
      </c>
      <c r="AW38" s="32">
        <f t="shared" si="12"/>
        <v>1.1454467527308838</v>
      </c>
      <c r="AY38" s="3">
        <v>801130.26</v>
      </c>
      <c r="BA38" s="3">
        <v>523452</v>
      </c>
      <c r="BB38" s="222">
        <v>1077753.25</v>
      </c>
      <c r="BC38" s="222">
        <f t="shared" si="42"/>
        <v>554301.25</v>
      </c>
      <c r="BD38" s="32">
        <f t="shared" si="14"/>
        <v>2.0589342480303827</v>
      </c>
      <c r="BF38" s="3">
        <v>573133.77</v>
      </c>
      <c r="BH38" s="3">
        <v>528889</v>
      </c>
      <c r="BI38" s="222">
        <v>615135.44999999995</v>
      </c>
      <c r="BJ38" s="222">
        <f t="shared" si="34"/>
        <v>86246.449999999953</v>
      </c>
      <c r="BK38" s="32">
        <f t="shared" si="16"/>
        <v>1.1630709846489526</v>
      </c>
      <c r="BM38" s="3">
        <v>926230</v>
      </c>
      <c r="BO38" s="3">
        <v>830135</v>
      </c>
      <c r="BP38" s="3">
        <v>899690.46</v>
      </c>
      <c r="BQ38" s="3">
        <f t="shared" si="43"/>
        <v>69555.459999999963</v>
      </c>
      <c r="BR38" s="32">
        <f t="shared" si="18"/>
        <v>1.0837881308461876</v>
      </c>
      <c r="BT38" s="3">
        <v>897858</v>
      </c>
      <c r="BV38" s="3">
        <v>512839</v>
      </c>
      <c r="BW38" s="34">
        <v>2144077.7000000002</v>
      </c>
      <c r="BX38" s="3">
        <f t="shared" si="44"/>
        <v>1631238.7000000002</v>
      </c>
      <c r="BY38" s="32">
        <f t="shared" si="20"/>
        <v>4.1808007971312637</v>
      </c>
      <c r="CA38" s="3">
        <v>843053.36</v>
      </c>
      <c r="CC38" s="3">
        <v>609740</v>
      </c>
      <c r="CD38" s="3">
        <v>365584.71</v>
      </c>
      <c r="CE38" s="3">
        <f t="shared" si="45"/>
        <v>-244155.28999999998</v>
      </c>
      <c r="CF38" s="32">
        <f t="shared" si="22"/>
        <v>0.59957475317348385</v>
      </c>
      <c r="CH38" s="3">
        <v>294150.3</v>
      </c>
      <c r="CJ38" s="225">
        <f t="shared" si="27"/>
        <v>11087149</v>
      </c>
      <c r="CK38" s="3">
        <f t="shared" si="27"/>
        <v>15190055.140000001</v>
      </c>
      <c r="CL38" s="3">
        <f t="shared" si="23"/>
        <v>4102906.1400000006</v>
      </c>
      <c r="CM38" s="32">
        <f t="shared" si="28"/>
        <v>1.3700596194747632</v>
      </c>
      <c r="CO38" s="3">
        <f t="shared" si="29"/>
        <v>13250651.819999998</v>
      </c>
      <c r="CQ38" s="225">
        <f t="shared" si="24"/>
        <v>11696889</v>
      </c>
      <c r="CR38" s="3">
        <f t="shared" si="24"/>
        <v>15555639.850000001</v>
      </c>
      <c r="CS38" s="3">
        <f t="shared" si="33"/>
        <v>4102906.1399999997</v>
      </c>
      <c r="CT38" s="32">
        <f t="shared" si="26"/>
        <v>1.3298954833203942</v>
      </c>
      <c r="CV38" s="3">
        <v>13544802.119999999</v>
      </c>
    </row>
    <row r="39" spans="1:102" s="26" customFormat="1" ht="16.5" customHeight="1" x14ac:dyDescent="0.3">
      <c r="A39" s="35"/>
      <c r="B39" s="36" t="s">
        <v>35</v>
      </c>
      <c r="D39" s="5">
        <v>0</v>
      </c>
      <c r="E39" s="5">
        <f>E40</f>
        <v>6101</v>
      </c>
      <c r="F39" s="249">
        <f>+F40</f>
        <v>6101</v>
      </c>
      <c r="G39" s="37">
        <f t="shared" si="1"/>
        <v>0</v>
      </c>
      <c r="I39" s="5">
        <v>3488.57</v>
      </c>
      <c r="J39" s="218"/>
      <c r="K39" s="5">
        <v>0</v>
      </c>
      <c r="L39" s="227">
        <f>L40</f>
        <v>8255</v>
      </c>
      <c r="M39" s="5">
        <f>+M40</f>
        <v>8255</v>
      </c>
      <c r="N39" s="37">
        <f t="shared" si="2"/>
        <v>0</v>
      </c>
      <c r="P39" s="5">
        <v>9442.7999999999993</v>
      </c>
      <c r="R39" s="5">
        <v>0</v>
      </c>
      <c r="S39" s="227">
        <f>S40</f>
        <v>7543</v>
      </c>
      <c r="T39" s="5">
        <f>+T40</f>
        <v>7543</v>
      </c>
      <c r="U39" s="37">
        <f t="shared" si="4"/>
        <v>0</v>
      </c>
      <c r="W39" s="5">
        <v>2396.71</v>
      </c>
      <c r="Y39" s="5">
        <v>0</v>
      </c>
      <c r="Z39" s="227">
        <f>+Z40</f>
        <v>156647.71</v>
      </c>
      <c r="AA39" s="249">
        <f>+AA40</f>
        <v>156647.71</v>
      </c>
      <c r="AB39" s="37">
        <f t="shared" si="32"/>
        <v>0</v>
      </c>
      <c r="AD39" s="5">
        <v>55114.02</v>
      </c>
      <c r="AF39" s="5">
        <v>0</v>
      </c>
      <c r="AG39" s="5">
        <f>+AG40</f>
        <v>86607.12</v>
      </c>
      <c r="AH39" s="4">
        <f>+AH40</f>
        <v>86607.12</v>
      </c>
      <c r="AI39" s="37">
        <f t="shared" si="8"/>
        <v>0</v>
      </c>
      <c r="AK39" s="5">
        <v>2836.22</v>
      </c>
      <c r="AM39" s="5">
        <v>0</v>
      </c>
      <c r="AN39" s="227">
        <f>+AN40</f>
        <v>63522.12</v>
      </c>
      <c r="AO39" s="5">
        <f>+AO40</f>
        <v>63522.12</v>
      </c>
      <c r="AP39" s="37">
        <f t="shared" si="10"/>
        <v>0</v>
      </c>
      <c r="AR39" s="5">
        <v>52301.69</v>
      </c>
      <c r="AT39" s="5">
        <v>0</v>
      </c>
      <c r="AU39" s="4">
        <f>+AU40</f>
        <v>53903.12</v>
      </c>
      <c r="AV39" s="5">
        <f>+AV40</f>
        <v>53903.12</v>
      </c>
      <c r="AW39" s="37">
        <f t="shared" si="12"/>
        <v>0</v>
      </c>
      <c r="AY39" s="5">
        <v>28702.52</v>
      </c>
      <c r="BA39" s="5">
        <v>0</v>
      </c>
      <c r="BB39" s="227">
        <f>+BB40</f>
        <v>32892</v>
      </c>
      <c r="BC39" s="227">
        <f>+BC40</f>
        <v>32892</v>
      </c>
      <c r="BD39" s="37">
        <f t="shared" si="14"/>
        <v>0</v>
      </c>
      <c r="BF39" s="5">
        <v>19455</v>
      </c>
      <c r="BH39" s="5">
        <v>0</v>
      </c>
      <c r="BI39" s="227">
        <f>BI40</f>
        <v>26116</v>
      </c>
      <c r="BJ39" s="227">
        <f>+BJ40</f>
        <v>26116</v>
      </c>
      <c r="BK39" s="37">
        <f t="shared" si="16"/>
        <v>0</v>
      </c>
      <c r="BM39" s="5">
        <v>11613</v>
      </c>
      <c r="BO39" s="5">
        <v>0</v>
      </c>
      <c r="BP39" s="5">
        <f>BP40</f>
        <v>32847</v>
      </c>
      <c r="BQ39" s="5">
        <f>+BQ40</f>
        <v>32847</v>
      </c>
      <c r="BR39" s="37">
        <f t="shared" si="18"/>
        <v>0</v>
      </c>
      <c r="BT39" s="5">
        <v>20569</v>
      </c>
      <c r="BV39" s="5">
        <v>0</v>
      </c>
      <c r="BW39" s="5">
        <f>BW40</f>
        <v>26439</v>
      </c>
      <c r="BX39" s="5">
        <f>+BX40</f>
        <v>26439</v>
      </c>
      <c r="BY39" s="37">
        <f t="shared" si="20"/>
        <v>0</v>
      </c>
      <c r="CA39" s="5">
        <v>9745</v>
      </c>
      <c r="CC39" s="5">
        <v>0</v>
      </c>
      <c r="CD39" s="5">
        <v>41878.19</v>
      </c>
      <c r="CE39" s="5">
        <f>+CE40</f>
        <v>41878.19</v>
      </c>
      <c r="CF39" s="37">
        <f t="shared" si="22"/>
        <v>0</v>
      </c>
      <c r="CH39" s="5">
        <v>132363.34</v>
      </c>
      <c r="CJ39" s="228">
        <f t="shared" si="27"/>
        <v>0</v>
      </c>
      <c r="CK39" s="5">
        <f t="shared" si="27"/>
        <v>500873.06999999995</v>
      </c>
      <c r="CL39" s="249">
        <f t="shared" si="23"/>
        <v>500873.06999999995</v>
      </c>
      <c r="CM39" s="37">
        <f t="shared" si="28"/>
        <v>0</v>
      </c>
      <c r="CO39" s="5">
        <f t="shared" si="29"/>
        <v>215664.53</v>
      </c>
      <c r="CQ39" s="228">
        <f t="shared" si="24"/>
        <v>0</v>
      </c>
      <c r="CR39" s="5">
        <f t="shared" si="24"/>
        <v>542751.26</v>
      </c>
      <c r="CS39" s="5">
        <f t="shared" si="33"/>
        <v>500873.06999999995</v>
      </c>
      <c r="CT39" s="37">
        <f t="shared" si="26"/>
        <v>0</v>
      </c>
      <c r="CV39" s="5">
        <v>348027.87</v>
      </c>
    </row>
    <row r="40" spans="1:102" s="31" customFormat="1" ht="16.5" customHeight="1" x14ac:dyDescent="0.3">
      <c r="A40" s="29">
        <v>35</v>
      </c>
      <c r="B40" s="30" t="s">
        <v>36</v>
      </c>
      <c r="D40" s="3">
        <v>0</v>
      </c>
      <c r="E40" s="3">
        <v>6101</v>
      </c>
      <c r="F40" s="3">
        <f>E40-D40</f>
        <v>6101</v>
      </c>
      <c r="G40" s="32">
        <f t="shared" si="1"/>
        <v>0</v>
      </c>
      <c r="I40" s="3">
        <v>3488.57</v>
      </c>
      <c r="J40" s="221"/>
      <c r="K40" s="33">
        <v>0</v>
      </c>
      <c r="L40" s="222">
        <v>8255</v>
      </c>
      <c r="M40" s="3">
        <f>L40-K40</f>
        <v>8255</v>
      </c>
      <c r="N40" s="32">
        <f t="shared" si="2"/>
        <v>0</v>
      </c>
      <c r="P40" s="3">
        <v>9442.7999999999993</v>
      </c>
      <c r="R40" s="3">
        <v>0</v>
      </c>
      <c r="S40" s="223">
        <v>7543</v>
      </c>
      <c r="T40" s="3">
        <f>S40-R40</f>
        <v>7543</v>
      </c>
      <c r="U40" s="32">
        <f t="shared" si="4"/>
        <v>0</v>
      </c>
      <c r="W40" s="3">
        <v>2396.71</v>
      </c>
      <c r="Y40" s="3">
        <v>0</v>
      </c>
      <c r="Z40" s="223">
        <v>156647.71</v>
      </c>
      <c r="AA40" s="3">
        <f>Z40-Y40</f>
        <v>156647.71</v>
      </c>
      <c r="AB40" s="32">
        <f t="shared" si="32"/>
        <v>0</v>
      </c>
      <c r="AD40" s="3">
        <v>55114.02</v>
      </c>
      <c r="AF40" s="3">
        <v>0</v>
      </c>
      <c r="AG40" s="3">
        <v>86607.12</v>
      </c>
      <c r="AH40" s="3">
        <f>AG40-AF40</f>
        <v>86607.12</v>
      </c>
      <c r="AI40" s="32">
        <f t="shared" si="8"/>
        <v>0</v>
      </c>
      <c r="AK40" s="3">
        <v>2836.22</v>
      </c>
      <c r="AM40" s="3">
        <v>0</v>
      </c>
      <c r="AN40" s="222">
        <v>63522.12</v>
      </c>
      <c r="AO40" s="3">
        <f>AN40-AM40</f>
        <v>63522.12</v>
      </c>
      <c r="AP40" s="32">
        <f t="shared" si="10"/>
        <v>0</v>
      </c>
      <c r="AR40" s="3">
        <v>52301.69</v>
      </c>
      <c r="AT40" s="9">
        <v>0</v>
      </c>
      <c r="AU40" s="3">
        <v>53903.12</v>
      </c>
      <c r="AV40" s="3">
        <f>AU40-AT40</f>
        <v>53903.12</v>
      </c>
      <c r="AW40" s="32">
        <f t="shared" si="12"/>
        <v>0</v>
      </c>
      <c r="AY40" s="3">
        <v>28702.52</v>
      </c>
      <c r="BA40" s="3">
        <v>0</v>
      </c>
      <c r="BB40" s="222">
        <v>32892</v>
      </c>
      <c r="BC40" s="222">
        <f>BB40-BA40</f>
        <v>32892</v>
      </c>
      <c r="BD40" s="32">
        <f t="shared" si="14"/>
        <v>0</v>
      </c>
      <c r="BF40" s="3">
        <v>19455</v>
      </c>
      <c r="BH40" s="3">
        <v>0</v>
      </c>
      <c r="BI40" s="222">
        <v>26116</v>
      </c>
      <c r="BJ40" s="222">
        <f>BI40-BH40</f>
        <v>26116</v>
      </c>
      <c r="BK40" s="32">
        <f t="shared" si="16"/>
        <v>0</v>
      </c>
      <c r="BM40" s="3">
        <v>11613</v>
      </c>
      <c r="BO40" s="3">
        <v>0</v>
      </c>
      <c r="BP40" s="3">
        <v>32847</v>
      </c>
      <c r="BQ40" s="3">
        <f>BP40-BO40</f>
        <v>32847</v>
      </c>
      <c r="BR40" s="32">
        <f t="shared" si="18"/>
        <v>0</v>
      </c>
      <c r="BT40" s="3">
        <v>20569</v>
      </c>
      <c r="BV40" s="3">
        <v>0</v>
      </c>
      <c r="BW40" s="34">
        <v>26439</v>
      </c>
      <c r="BX40" s="3">
        <f>BW40-BV40</f>
        <v>26439</v>
      </c>
      <c r="BY40" s="32">
        <f t="shared" si="20"/>
        <v>0</v>
      </c>
      <c r="CA40" s="3">
        <v>9745</v>
      </c>
      <c r="CC40" s="3">
        <v>0</v>
      </c>
      <c r="CD40" s="3">
        <v>41878.19</v>
      </c>
      <c r="CE40" s="3">
        <f>CD40-CC40</f>
        <v>41878.19</v>
      </c>
      <c r="CF40" s="32">
        <f t="shared" si="22"/>
        <v>0</v>
      </c>
      <c r="CH40" s="3">
        <v>132363.34</v>
      </c>
      <c r="CJ40" s="225">
        <f t="shared" si="27"/>
        <v>0</v>
      </c>
      <c r="CK40" s="3">
        <f t="shared" si="27"/>
        <v>500873.06999999995</v>
      </c>
      <c r="CL40" s="3">
        <f t="shared" si="23"/>
        <v>500873.06999999995</v>
      </c>
      <c r="CM40" s="32">
        <f t="shared" si="28"/>
        <v>0</v>
      </c>
      <c r="CO40" s="3">
        <f t="shared" si="29"/>
        <v>215664.53</v>
      </c>
      <c r="CQ40" s="225">
        <f t="shared" si="24"/>
        <v>0</v>
      </c>
      <c r="CR40" s="3">
        <f t="shared" si="24"/>
        <v>542751.26</v>
      </c>
      <c r="CS40" s="3">
        <f t="shared" si="33"/>
        <v>500873.06999999995</v>
      </c>
      <c r="CT40" s="32">
        <f t="shared" si="26"/>
        <v>0</v>
      </c>
      <c r="CV40" s="3">
        <v>348027.87</v>
      </c>
    </row>
    <row r="41" spans="1:102" s="26" customFormat="1" ht="16.5" customHeight="1" x14ac:dyDescent="0.3">
      <c r="A41" s="35"/>
      <c r="B41" s="36" t="s">
        <v>37</v>
      </c>
      <c r="D41" s="5">
        <v>0</v>
      </c>
      <c r="E41" s="5">
        <f>E42</f>
        <v>5550</v>
      </c>
      <c r="F41" s="3">
        <f>E41-D41</f>
        <v>5550</v>
      </c>
      <c r="G41" s="37">
        <f t="shared" si="1"/>
        <v>0</v>
      </c>
      <c r="I41" s="5">
        <v>7550</v>
      </c>
      <c r="J41" s="218"/>
      <c r="K41" s="42">
        <v>0</v>
      </c>
      <c r="L41" s="227">
        <f>L42</f>
        <v>6000</v>
      </c>
      <c r="M41" s="5">
        <f>L41-K41</f>
        <v>6000</v>
      </c>
      <c r="N41" s="37">
        <f t="shared" si="2"/>
        <v>0</v>
      </c>
      <c r="P41" s="5">
        <v>2869</v>
      </c>
      <c r="R41" s="5">
        <v>0</v>
      </c>
      <c r="S41" s="227">
        <f>S42</f>
        <v>5700</v>
      </c>
      <c r="T41" s="5">
        <f>S41-R41</f>
        <v>5700</v>
      </c>
      <c r="U41" s="37">
        <f t="shared" si="4"/>
        <v>0</v>
      </c>
      <c r="W41" s="5">
        <v>8003</v>
      </c>
      <c r="Y41" s="5">
        <v>0</v>
      </c>
      <c r="Z41" s="227">
        <f>Z42</f>
        <v>5400</v>
      </c>
      <c r="AA41" s="5">
        <f>Z41-Y41</f>
        <v>5400</v>
      </c>
      <c r="AB41" s="37">
        <f t="shared" si="32"/>
        <v>0</v>
      </c>
      <c r="AD41" s="5">
        <v>7248</v>
      </c>
      <c r="AF41" s="5">
        <v>0</v>
      </c>
      <c r="AG41" s="5">
        <f>AG42</f>
        <v>5400</v>
      </c>
      <c r="AH41" s="5">
        <f>AG41-AF41</f>
        <v>5400</v>
      </c>
      <c r="AI41" s="37">
        <f t="shared" si="8"/>
        <v>0</v>
      </c>
      <c r="AK41" s="5">
        <v>9513</v>
      </c>
      <c r="AM41" s="5">
        <v>0</v>
      </c>
      <c r="AN41" s="227">
        <f>AN42</f>
        <v>6150</v>
      </c>
      <c r="AO41" s="5">
        <f>AN41-AM41</f>
        <v>6150</v>
      </c>
      <c r="AP41" s="37">
        <f t="shared" si="10"/>
        <v>0</v>
      </c>
      <c r="AR41" s="5">
        <v>8154</v>
      </c>
      <c r="AT41" s="5">
        <v>0</v>
      </c>
      <c r="AU41" s="4">
        <f>AU42</f>
        <v>6150</v>
      </c>
      <c r="AV41" s="5">
        <f>AU41-AT41</f>
        <v>6150</v>
      </c>
      <c r="AW41" s="37">
        <f t="shared" si="12"/>
        <v>0</v>
      </c>
      <c r="AY41" s="5">
        <v>8305</v>
      </c>
      <c r="BA41" s="5">
        <v>0</v>
      </c>
      <c r="BB41" s="227">
        <f>BB42</f>
        <v>9450</v>
      </c>
      <c r="BC41" s="227">
        <f>BB41-BA41</f>
        <v>9450</v>
      </c>
      <c r="BD41" s="37">
        <f t="shared" si="14"/>
        <v>0</v>
      </c>
      <c r="BF41" s="5">
        <v>8003</v>
      </c>
      <c r="BH41" s="4">
        <v>0</v>
      </c>
      <c r="BI41" s="226">
        <f>BI42</f>
        <v>3750</v>
      </c>
      <c r="BJ41" s="227">
        <f>BI41-BH41</f>
        <v>3750</v>
      </c>
      <c r="BK41" s="37">
        <f t="shared" si="16"/>
        <v>0</v>
      </c>
      <c r="BM41" s="5">
        <v>7852</v>
      </c>
      <c r="BO41" s="4">
        <v>0</v>
      </c>
      <c r="BP41" s="4">
        <f>BP42</f>
        <v>8700</v>
      </c>
      <c r="BQ41" s="5">
        <f>BP41-BO41</f>
        <v>8700</v>
      </c>
      <c r="BR41" s="37">
        <f t="shared" si="18"/>
        <v>0</v>
      </c>
      <c r="BT41" s="5">
        <v>8363</v>
      </c>
      <c r="BV41" s="4">
        <v>0</v>
      </c>
      <c r="BW41" s="4">
        <f>BW42</f>
        <v>7800</v>
      </c>
      <c r="BX41" s="5">
        <f>BW41-BV41</f>
        <v>7800</v>
      </c>
      <c r="BY41" s="37">
        <f t="shared" si="20"/>
        <v>0</v>
      </c>
      <c r="CA41" s="4">
        <v>12986</v>
      </c>
      <c r="CC41" s="4">
        <v>0</v>
      </c>
      <c r="CD41" s="5">
        <v>4500</v>
      </c>
      <c r="CE41" s="5">
        <f>CD41-CC41</f>
        <v>4500</v>
      </c>
      <c r="CF41" s="37">
        <f t="shared" si="22"/>
        <v>0</v>
      </c>
      <c r="CH41" s="4">
        <v>3624</v>
      </c>
      <c r="CJ41" s="228">
        <f t="shared" si="27"/>
        <v>0</v>
      </c>
      <c r="CK41" s="5">
        <f t="shared" si="27"/>
        <v>70050</v>
      </c>
      <c r="CL41" s="5">
        <f t="shared" si="23"/>
        <v>70050</v>
      </c>
      <c r="CM41" s="37">
        <f t="shared" si="28"/>
        <v>0</v>
      </c>
      <c r="CO41" s="4">
        <f t="shared" si="29"/>
        <v>88846</v>
      </c>
      <c r="CQ41" s="228">
        <f t="shared" si="24"/>
        <v>0</v>
      </c>
      <c r="CR41" s="5">
        <f t="shared" si="24"/>
        <v>74550</v>
      </c>
      <c r="CS41" s="5">
        <f t="shared" si="33"/>
        <v>70050</v>
      </c>
      <c r="CT41" s="37">
        <f t="shared" si="26"/>
        <v>0</v>
      </c>
      <c r="CV41" s="4">
        <v>92470</v>
      </c>
    </row>
    <row r="42" spans="1:102" s="31" customFormat="1" ht="16.5" customHeight="1" x14ac:dyDescent="0.3">
      <c r="A42" s="29">
        <v>36</v>
      </c>
      <c r="B42" s="30" t="s">
        <v>38</v>
      </c>
      <c r="D42" s="3">
        <v>0</v>
      </c>
      <c r="E42" s="3">
        <v>5550</v>
      </c>
      <c r="F42" s="3">
        <f>E42-D42</f>
        <v>5550</v>
      </c>
      <c r="G42" s="32">
        <f t="shared" si="1"/>
        <v>0</v>
      </c>
      <c r="I42" s="3">
        <v>7550</v>
      </c>
      <c r="J42" s="221"/>
      <c r="K42" s="33">
        <v>0</v>
      </c>
      <c r="L42" s="222">
        <v>6000</v>
      </c>
      <c r="M42" s="3">
        <f>L42-K42</f>
        <v>6000</v>
      </c>
      <c r="N42" s="32">
        <f t="shared" si="2"/>
        <v>0</v>
      </c>
      <c r="P42" s="3">
        <v>2869</v>
      </c>
      <c r="R42" s="3">
        <v>0</v>
      </c>
      <c r="S42" s="223">
        <v>5700</v>
      </c>
      <c r="T42" s="3">
        <f>S42-R42</f>
        <v>5700</v>
      </c>
      <c r="U42" s="32">
        <f t="shared" si="4"/>
        <v>0</v>
      </c>
      <c r="W42" s="3">
        <v>8003</v>
      </c>
      <c r="Y42" s="3">
        <v>0</v>
      </c>
      <c r="Z42" s="223">
        <v>5400</v>
      </c>
      <c r="AA42" s="3">
        <f>Z42-Y42</f>
        <v>5400</v>
      </c>
      <c r="AB42" s="32">
        <f t="shared" si="32"/>
        <v>0</v>
      </c>
      <c r="AD42" s="3">
        <v>7248</v>
      </c>
      <c r="AF42" s="3">
        <v>0</v>
      </c>
      <c r="AG42" s="3">
        <v>5400</v>
      </c>
      <c r="AH42" s="3">
        <f>AG42-AF42</f>
        <v>5400</v>
      </c>
      <c r="AI42" s="32">
        <f t="shared" si="8"/>
        <v>0</v>
      </c>
      <c r="AK42" s="3">
        <v>9513</v>
      </c>
      <c r="AM42" s="3">
        <v>0</v>
      </c>
      <c r="AN42" s="222">
        <v>6150</v>
      </c>
      <c r="AO42" s="3">
        <f>AN42-AM42</f>
        <v>6150</v>
      </c>
      <c r="AP42" s="32">
        <f t="shared" si="10"/>
        <v>0</v>
      </c>
      <c r="AR42" s="3">
        <v>8154</v>
      </c>
      <c r="AT42" s="9">
        <v>0</v>
      </c>
      <c r="AU42" s="3">
        <v>6150</v>
      </c>
      <c r="AV42" s="3">
        <f>AU42-AT42</f>
        <v>6150</v>
      </c>
      <c r="AW42" s="32">
        <f t="shared" si="12"/>
        <v>0</v>
      </c>
      <c r="AY42" s="3">
        <v>8305</v>
      </c>
      <c r="BA42" s="3">
        <v>0</v>
      </c>
      <c r="BB42" s="222">
        <v>9450</v>
      </c>
      <c r="BC42" s="222">
        <f>BB42-BA42</f>
        <v>9450</v>
      </c>
      <c r="BD42" s="32">
        <f t="shared" si="14"/>
        <v>0</v>
      </c>
      <c r="BF42" s="3">
        <v>8003</v>
      </c>
      <c r="BH42" s="3">
        <v>0</v>
      </c>
      <c r="BI42" s="222">
        <v>3750</v>
      </c>
      <c r="BJ42" s="222">
        <f>BI42-BH42</f>
        <v>3750</v>
      </c>
      <c r="BK42" s="32">
        <f t="shared" si="16"/>
        <v>0</v>
      </c>
      <c r="BM42" s="3">
        <v>7852</v>
      </c>
      <c r="BO42" s="3">
        <v>0</v>
      </c>
      <c r="BP42" s="3">
        <v>8700</v>
      </c>
      <c r="BQ42" s="3">
        <f>BP42-BO42</f>
        <v>8700</v>
      </c>
      <c r="BR42" s="32">
        <f t="shared" si="18"/>
        <v>0</v>
      </c>
      <c r="BT42" s="3">
        <v>8363</v>
      </c>
      <c r="BV42" s="3">
        <v>0</v>
      </c>
      <c r="BW42" s="34">
        <v>7800</v>
      </c>
      <c r="BX42" s="3">
        <f>BW42-BV42</f>
        <v>7800</v>
      </c>
      <c r="BY42" s="32">
        <f t="shared" si="20"/>
        <v>0</v>
      </c>
      <c r="CA42" s="3">
        <v>12986</v>
      </c>
      <c r="CC42" s="3">
        <v>0</v>
      </c>
      <c r="CD42" s="3">
        <v>4500</v>
      </c>
      <c r="CE42" s="3">
        <f>CD42-CC42</f>
        <v>4500</v>
      </c>
      <c r="CF42" s="32">
        <f t="shared" si="22"/>
        <v>0</v>
      </c>
      <c r="CH42" s="3">
        <v>3624</v>
      </c>
      <c r="CJ42" s="225">
        <f t="shared" si="27"/>
        <v>0</v>
      </c>
      <c r="CK42" s="3">
        <f t="shared" si="27"/>
        <v>70050</v>
      </c>
      <c r="CL42" s="3">
        <f t="shared" si="23"/>
        <v>70050</v>
      </c>
      <c r="CM42" s="32">
        <f t="shared" si="28"/>
        <v>0</v>
      </c>
      <c r="CO42" s="3">
        <f t="shared" si="29"/>
        <v>88846</v>
      </c>
      <c r="CQ42" s="225">
        <f t="shared" si="24"/>
        <v>0</v>
      </c>
      <c r="CR42" s="3">
        <f t="shared" si="24"/>
        <v>74550</v>
      </c>
      <c r="CS42" s="3">
        <f t="shared" si="33"/>
        <v>70050</v>
      </c>
      <c r="CT42" s="32">
        <f t="shared" si="26"/>
        <v>0</v>
      </c>
      <c r="CV42" s="3">
        <v>92470</v>
      </c>
    </row>
    <row r="43" spans="1:102" s="26" customFormat="1" ht="16.5" customHeight="1" x14ac:dyDescent="0.3">
      <c r="A43" s="35"/>
      <c r="B43" s="36" t="s">
        <v>39</v>
      </c>
      <c r="D43" s="5">
        <v>3881</v>
      </c>
      <c r="E43" s="5">
        <f>E44</f>
        <v>13060</v>
      </c>
      <c r="F43" s="4">
        <f>E43-D43</f>
        <v>9179</v>
      </c>
      <c r="G43" s="37">
        <f t="shared" si="1"/>
        <v>3.3651120845143003</v>
      </c>
      <c r="I43" s="5">
        <v>9291</v>
      </c>
      <c r="J43" s="218"/>
      <c r="K43" s="42">
        <v>25785</v>
      </c>
      <c r="L43" s="227">
        <f>L44</f>
        <v>21062</v>
      </c>
      <c r="M43" s="5">
        <f>L43-K43</f>
        <v>-4723</v>
      </c>
      <c r="N43" s="37">
        <f t="shared" si="2"/>
        <v>0.8168314911770409</v>
      </c>
      <c r="P43" s="5">
        <v>52200.07</v>
      </c>
      <c r="R43" s="5">
        <v>7350</v>
      </c>
      <c r="S43" s="227">
        <f>S44</f>
        <v>20203</v>
      </c>
      <c r="T43" s="5">
        <f>S43-R43</f>
        <v>12853</v>
      </c>
      <c r="U43" s="37">
        <f t="shared" si="4"/>
        <v>2.7487074829931974</v>
      </c>
      <c r="W43" s="5">
        <v>16470</v>
      </c>
      <c r="Y43" s="5">
        <v>15785</v>
      </c>
      <c r="Z43" s="227">
        <f>Z44</f>
        <v>17909</v>
      </c>
      <c r="AA43" s="5">
        <f>Z43-Y43</f>
        <v>2124</v>
      </c>
      <c r="AB43" s="37">
        <f t="shared" si="32"/>
        <v>1.1345581248020273</v>
      </c>
      <c r="AD43" s="5">
        <v>30380</v>
      </c>
      <c r="AF43" s="5">
        <v>13240</v>
      </c>
      <c r="AG43" s="5">
        <f>AG44</f>
        <v>8566</v>
      </c>
      <c r="AH43" s="5">
        <f>AG43-AF43</f>
        <v>-4674</v>
      </c>
      <c r="AI43" s="37">
        <f t="shared" si="8"/>
        <v>0.64697885196374627</v>
      </c>
      <c r="AK43" s="5">
        <v>27231.01</v>
      </c>
      <c r="AM43" s="5">
        <v>13034</v>
      </c>
      <c r="AN43" s="227">
        <f>AN44</f>
        <v>1974</v>
      </c>
      <c r="AO43" s="5">
        <f>AN43-AM43</f>
        <v>-11060</v>
      </c>
      <c r="AP43" s="37">
        <f t="shared" si="10"/>
        <v>0.15145005370569281</v>
      </c>
      <c r="AR43" s="5">
        <v>25115.25</v>
      </c>
      <c r="AT43" s="5">
        <v>4140</v>
      </c>
      <c r="AU43" s="4">
        <f>AU44</f>
        <v>4376</v>
      </c>
      <c r="AV43" s="5">
        <f>AU43-AT43</f>
        <v>236</v>
      </c>
      <c r="AW43" s="37">
        <f t="shared" si="12"/>
        <v>1.0570048309178743</v>
      </c>
      <c r="AY43" s="5">
        <v>9910.65</v>
      </c>
      <c r="BA43" s="5">
        <v>526</v>
      </c>
      <c r="BB43" s="227">
        <f>BB44</f>
        <v>34293.089999999997</v>
      </c>
      <c r="BC43" s="227">
        <f>BB43-BA43</f>
        <v>33767.089999999997</v>
      </c>
      <c r="BD43" s="37">
        <f t="shared" si="14"/>
        <v>65.195988593155889</v>
      </c>
      <c r="BF43" s="5">
        <v>1260</v>
      </c>
      <c r="BH43" s="4">
        <v>0</v>
      </c>
      <c r="BI43" s="226">
        <f>BI44</f>
        <v>4994</v>
      </c>
      <c r="BJ43" s="227">
        <f>BI43-BH43</f>
        <v>4994</v>
      </c>
      <c r="BK43" s="37">
        <f t="shared" si="16"/>
        <v>0</v>
      </c>
      <c r="BM43" s="5">
        <v>0</v>
      </c>
      <c r="BO43" s="4">
        <v>4255</v>
      </c>
      <c r="BP43" s="4">
        <f>BP44</f>
        <v>5818</v>
      </c>
      <c r="BQ43" s="5">
        <f>BP43-BO43</f>
        <v>1563</v>
      </c>
      <c r="BR43" s="37">
        <f t="shared" si="18"/>
        <v>1.3673325499412456</v>
      </c>
      <c r="BT43" s="5">
        <v>10187</v>
      </c>
      <c r="BV43" s="4">
        <v>65684</v>
      </c>
      <c r="BW43" s="4">
        <f>BW44</f>
        <v>6551</v>
      </c>
      <c r="BX43" s="5">
        <f>BW43-BV43</f>
        <v>-59133</v>
      </c>
      <c r="BY43" s="37">
        <f t="shared" si="20"/>
        <v>9.9735095304792645E-2</v>
      </c>
      <c r="CA43" s="4">
        <v>0</v>
      </c>
      <c r="CC43" s="4">
        <v>56687</v>
      </c>
      <c r="CD43" s="5">
        <v>2779</v>
      </c>
      <c r="CE43" s="5">
        <f>CD43-CC43</f>
        <v>-53908</v>
      </c>
      <c r="CF43" s="37">
        <f t="shared" si="22"/>
        <v>4.9023585654559249E-2</v>
      </c>
      <c r="CH43" s="4">
        <v>2248</v>
      </c>
      <c r="CJ43" s="228">
        <f t="shared" si="27"/>
        <v>153680</v>
      </c>
      <c r="CK43" s="5">
        <f t="shared" si="27"/>
        <v>138806.09</v>
      </c>
      <c r="CL43" s="5">
        <f t="shared" si="23"/>
        <v>-14873.910000000003</v>
      </c>
      <c r="CM43" s="37">
        <f t="shared" si="28"/>
        <v>0.90321505726184281</v>
      </c>
      <c r="CO43" s="4">
        <f t="shared" si="29"/>
        <v>182044.98</v>
      </c>
      <c r="CQ43" s="228">
        <f t="shared" si="24"/>
        <v>210367</v>
      </c>
      <c r="CR43" s="5">
        <f t="shared" si="24"/>
        <v>141585.09</v>
      </c>
      <c r="CS43" s="5">
        <f t="shared" si="33"/>
        <v>-14873.910000000003</v>
      </c>
      <c r="CT43" s="37">
        <f t="shared" si="26"/>
        <v>0.67303849938440918</v>
      </c>
      <c r="CV43" s="4">
        <v>184292.98</v>
      </c>
    </row>
    <row r="44" spans="1:102" s="31" customFormat="1" ht="16.5" customHeight="1" x14ac:dyDescent="0.3">
      <c r="A44" s="29">
        <v>37</v>
      </c>
      <c r="B44" s="30" t="s">
        <v>40</v>
      </c>
      <c r="D44" s="3">
        <v>3881</v>
      </c>
      <c r="E44" s="3">
        <v>13060</v>
      </c>
      <c r="F44" s="3">
        <f>E44-D44</f>
        <v>9179</v>
      </c>
      <c r="G44" s="32">
        <f t="shared" si="1"/>
        <v>3.3651120845143003</v>
      </c>
      <c r="I44" s="3">
        <v>9291</v>
      </c>
      <c r="J44" s="221"/>
      <c r="K44" s="33">
        <v>25785</v>
      </c>
      <c r="L44" s="255">
        <v>21062</v>
      </c>
      <c r="M44" s="3">
        <f>L44-K44</f>
        <v>-4723</v>
      </c>
      <c r="N44" s="32">
        <f t="shared" si="2"/>
        <v>0.8168314911770409</v>
      </c>
      <c r="P44" s="3">
        <v>52200.07</v>
      </c>
      <c r="R44" s="3">
        <v>7350</v>
      </c>
      <c r="S44" s="223">
        <v>20203</v>
      </c>
      <c r="T44" s="3">
        <f>S44-R44</f>
        <v>12853</v>
      </c>
      <c r="U44" s="32">
        <f t="shared" si="4"/>
        <v>2.7487074829931974</v>
      </c>
      <c r="W44" s="3">
        <v>16470</v>
      </c>
      <c r="Y44" s="3">
        <v>15785</v>
      </c>
      <c r="Z44" s="223">
        <v>17909</v>
      </c>
      <c r="AA44" s="3">
        <f>Z44-Y44</f>
        <v>2124</v>
      </c>
      <c r="AB44" s="32">
        <f t="shared" si="32"/>
        <v>1.1345581248020273</v>
      </c>
      <c r="AD44" s="3">
        <v>30380</v>
      </c>
      <c r="AF44" s="3">
        <v>13240</v>
      </c>
      <c r="AG44" s="3">
        <v>8566</v>
      </c>
      <c r="AH44" s="3">
        <f>AG44-AF44</f>
        <v>-4674</v>
      </c>
      <c r="AI44" s="32">
        <f t="shared" si="8"/>
        <v>0.64697885196374627</v>
      </c>
      <c r="AK44" s="3">
        <v>27231.01</v>
      </c>
      <c r="AM44" s="3">
        <v>13034</v>
      </c>
      <c r="AN44" s="222">
        <v>1974</v>
      </c>
      <c r="AO44" s="3">
        <f>AN44-AM44</f>
        <v>-11060</v>
      </c>
      <c r="AP44" s="32">
        <f t="shared" si="10"/>
        <v>0.15145005370569281</v>
      </c>
      <c r="AR44" s="3">
        <v>25115.25</v>
      </c>
      <c r="AT44" s="3">
        <v>4140</v>
      </c>
      <c r="AU44" s="3">
        <v>4376</v>
      </c>
      <c r="AV44" s="3">
        <f>AU44-AT44</f>
        <v>236</v>
      </c>
      <c r="AW44" s="32">
        <f t="shared" si="12"/>
        <v>1.0570048309178743</v>
      </c>
      <c r="AY44" s="3">
        <v>9910.65</v>
      </c>
      <c r="BA44" s="3">
        <v>526</v>
      </c>
      <c r="BB44" s="222">
        <v>34293.089999999997</v>
      </c>
      <c r="BC44" s="222">
        <f>BB44-BA44</f>
        <v>33767.089999999997</v>
      </c>
      <c r="BD44" s="32">
        <f t="shared" si="14"/>
        <v>65.195988593155889</v>
      </c>
      <c r="BF44" s="3">
        <v>1260</v>
      </c>
      <c r="BH44" s="3">
        <v>0</v>
      </c>
      <c r="BI44" s="222">
        <v>4994</v>
      </c>
      <c r="BJ44" s="222">
        <f>BI44-BH44</f>
        <v>4994</v>
      </c>
      <c r="BK44" s="32">
        <f t="shared" si="16"/>
        <v>0</v>
      </c>
      <c r="BM44" s="3">
        <v>0</v>
      </c>
      <c r="BO44" s="3">
        <v>4255</v>
      </c>
      <c r="BP44" s="3">
        <v>5818</v>
      </c>
      <c r="BQ44" s="3">
        <f>BP44-BO44</f>
        <v>1563</v>
      </c>
      <c r="BR44" s="32">
        <f t="shared" si="18"/>
        <v>1.3673325499412456</v>
      </c>
      <c r="BT44" s="3">
        <v>10187</v>
      </c>
      <c r="BV44" s="3">
        <v>65684</v>
      </c>
      <c r="BW44" s="34">
        <v>6551</v>
      </c>
      <c r="BX44" s="3">
        <f>BW44-BV44</f>
        <v>-59133</v>
      </c>
      <c r="BY44" s="32">
        <f t="shared" si="20"/>
        <v>9.9735095304792645E-2</v>
      </c>
      <c r="CA44" s="3">
        <v>0</v>
      </c>
      <c r="CC44" s="3">
        <v>56687</v>
      </c>
      <c r="CD44" s="3">
        <v>2779</v>
      </c>
      <c r="CE44" s="3">
        <f>CD44-CC44</f>
        <v>-53908</v>
      </c>
      <c r="CF44" s="32">
        <f t="shared" si="22"/>
        <v>4.9023585654559249E-2</v>
      </c>
      <c r="CH44" s="3">
        <v>2248</v>
      </c>
      <c r="CJ44" s="225">
        <f t="shared" si="27"/>
        <v>153680</v>
      </c>
      <c r="CK44" s="3">
        <f t="shared" si="27"/>
        <v>138806.09</v>
      </c>
      <c r="CL44" s="3">
        <f t="shared" si="23"/>
        <v>-14873.910000000003</v>
      </c>
      <c r="CM44" s="32">
        <f t="shared" si="28"/>
        <v>0.90321505726184281</v>
      </c>
      <c r="CO44" s="3">
        <f t="shared" si="29"/>
        <v>182044.98</v>
      </c>
      <c r="CQ44" s="225">
        <f t="shared" si="24"/>
        <v>210367</v>
      </c>
      <c r="CR44" s="3">
        <f t="shared" si="24"/>
        <v>141585.09</v>
      </c>
      <c r="CS44" s="3">
        <f t="shared" si="33"/>
        <v>-14873.910000000003</v>
      </c>
      <c r="CT44" s="32">
        <f t="shared" si="26"/>
        <v>0.67303849938440918</v>
      </c>
      <c r="CV44" s="3">
        <v>184292.98</v>
      </c>
    </row>
    <row r="45" spans="1:102" s="245" customFormat="1" ht="14.25" customHeight="1" x14ac:dyDescent="0.3">
      <c r="A45" s="234"/>
      <c r="B45" s="235" t="s">
        <v>41</v>
      </c>
      <c r="C45" s="236"/>
      <c r="D45" s="237">
        <v>12198419</v>
      </c>
      <c r="E45" s="237">
        <f>E43+E41+E39+E25+E23</f>
        <v>13641126.199999999</v>
      </c>
      <c r="F45" s="237">
        <f>+F23+F25+F39+F41+F43</f>
        <v>1442707.2</v>
      </c>
      <c r="G45" s="238">
        <f t="shared" si="1"/>
        <v>1.1182700151552425</v>
      </c>
      <c r="H45" s="236"/>
      <c r="I45" s="237">
        <v>12949414.75</v>
      </c>
      <c r="J45" s="236"/>
      <c r="K45" s="237">
        <f>+K23+K25+K39+K41+K43</f>
        <v>10879562</v>
      </c>
      <c r="L45" s="237">
        <f>+L23+L25+L39+L41+L43</f>
        <v>13333931.050000001</v>
      </c>
      <c r="M45" s="237">
        <f>+M23+M25+M39+M41+M43</f>
        <v>2454369.0500000003</v>
      </c>
      <c r="N45" s="238">
        <f t="shared" si="2"/>
        <v>1.2255944724612995</v>
      </c>
      <c r="O45" s="236"/>
      <c r="P45" s="237">
        <v>10873959.779999999</v>
      </c>
      <c r="Q45" s="236"/>
      <c r="R45" s="237">
        <f>+R23+R25+R39+R41+R43</f>
        <v>10561808</v>
      </c>
      <c r="S45" s="237">
        <f>+S23+S25+S39+S41+S43</f>
        <v>14204329.699999999</v>
      </c>
      <c r="T45" s="237">
        <f>+T23+T25+T39+T41+T43</f>
        <v>3642521.6999999997</v>
      </c>
      <c r="U45" s="238">
        <f t="shared" si="4"/>
        <v>1.3448767199706717</v>
      </c>
      <c r="V45" s="236"/>
      <c r="W45" s="237">
        <v>10976074.68</v>
      </c>
      <c r="X45" s="236"/>
      <c r="Y45" s="237">
        <f>+Y23+Y25+Y39+Y41+Y43</f>
        <v>11326629</v>
      </c>
      <c r="Z45" s="237">
        <f>+Z23+Z25+Z39+Z41+Z43</f>
        <v>12120979.83</v>
      </c>
      <c r="AA45" s="237">
        <f>+AA23+AA25+AA39+AA41+AA43</f>
        <v>794350.83000000007</v>
      </c>
      <c r="AB45" s="238">
        <f t="shared" si="32"/>
        <v>1.0701312658867876</v>
      </c>
      <c r="AC45" s="236"/>
      <c r="AD45" s="237">
        <v>12311674.83</v>
      </c>
      <c r="AE45" s="236"/>
      <c r="AF45" s="237">
        <f>+AF23+AF25+AF39+AF41+AF43</f>
        <v>8442293</v>
      </c>
      <c r="AG45" s="237">
        <f>+AG23+AG25+AG39+AG41+AG43</f>
        <v>12490101.210000001</v>
      </c>
      <c r="AH45" s="237">
        <f>+AH23+AH25+AH39+AH41+AH43</f>
        <v>4047808.21</v>
      </c>
      <c r="AI45" s="238">
        <f t="shared" si="8"/>
        <v>1.4794678661354208</v>
      </c>
      <c r="AJ45" s="236"/>
      <c r="AK45" s="237">
        <v>7392854.5699999994</v>
      </c>
      <c r="AL45" s="240"/>
      <c r="AM45" s="237">
        <f>+AM23+AM25+AM39+AM41+AM43</f>
        <v>10278393</v>
      </c>
      <c r="AN45" s="237">
        <f>+AN23+AN25+AN39+AN41+AN43</f>
        <v>15169796.130000001</v>
      </c>
      <c r="AO45" s="237">
        <f>+AO23+AO25+AO39+AO41+AO43</f>
        <v>4891403.1300000008</v>
      </c>
      <c r="AP45" s="238">
        <f t="shared" si="10"/>
        <v>1.4758918179135592</v>
      </c>
      <c r="AQ45" s="236"/>
      <c r="AR45" s="237">
        <v>14075917.299999999</v>
      </c>
      <c r="AS45" s="236"/>
      <c r="AT45" s="237">
        <v>10519305</v>
      </c>
      <c r="AU45" s="237">
        <f>+AU23+AU25+AU39+AU41+AU43</f>
        <v>11288571.179999998</v>
      </c>
      <c r="AV45" s="237">
        <f>+AV23+AV25+AV39+AV41+AV43</f>
        <v>769266.18000000028</v>
      </c>
      <c r="AW45" s="238">
        <f t="shared" si="12"/>
        <v>1.0731289928374543</v>
      </c>
      <c r="AX45" s="236"/>
      <c r="AY45" s="237">
        <v>10360687.27</v>
      </c>
      <c r="AZ45" s="236"/>
      <c r="BA45" s="237">
        <f>+BA23+BA25+BA39+BA41+BA43</f>
        <v>11924368</v>
      </c>
      <c r="BB45" s="237">
        <f>+BB23+BB25+BB39+BB41+BB43</f>
        <v>8744411.9399999995</v>
      </c>
      <c r="BC45" s="237">
        <f>+BC23+BC25+BC39+BC41+BC43</f>
        <v>-3179956.06</v>
      </c>
      <c r="BD45" s="238">
        <f t="shared" si="14"/>
        <v>0.7333228847013108</v>
      </c>
      <c r="BE45" s="236"/>
      <c r="BF45" s="237">
        <v>13542968.249999998</v>
      </c>
      <c r="BG45" s="236"/>
      <c r="BH45" s="237">
        <f>+BH23+BH25+BH39+BH41+BH43</f>
        <v>4274060</v>
      </c>
      <c r="BI45" s="237">
        <f>+BI23+BI25+BI39+BI41+BI43</f>
        <v>9581355.4899999984</v>
      </c>
      <c r="BJ45" s="237">
        <f>+BJ23+BJ25+BJ39+BJ41+BJ43</f>
        <v>5307295.4899999974</v>
      </c>
      <c r="BK45" s="238">
        <f t="shared" si="16"/>
        <v>2.2417456680533259</v>
      </c>
      <c r="BL45" s="236"/>
      <c r="BM45" s="237">
        <v>10810864.469999999</v>
      </c>
      <c r="BN45" s="236"/>
      <c r="BO45" s="237">
        <f>+BO23+BO25+BO39+BO41+BO43</f>
        <v>11223142</v>
      </c>
      <c r="BP45" s="237">
        <f>+BP23+BP25+BP39+BP41+BP43</f>
        <v>10423078.309999999</v>
      </c>
      <c r="BQ45" s="237">
        <f>+BQ23+BQ25+BQ39+BQ41+BQ43</f>
        <v>-800063.68999999971</v>
      </c>
      <c r="BR45" s="238">
        <f t="shared" si="18"/>
        <v>0.92871303864817878</v>
      </c>
      <c r="BS45" s="236"/>
      <c r="BT45" s="237">
        <v>11912509.57</v>
      </c>
      <c r="BU45" s="236"/>
      <c r="BV45" s="237">
        <v>9574323</v>
      </c>
      <c r="BW45" s="237">
        <f>BW23+BW25+BW39+BW41+BW43</f>
        <v>12701062.879999999</v>
      </c>
      <c r="BX45" s="237">
        <f>+BX23+BX25+BX39+BX41+BX43</f>
        <v>3126739.88</v>
      </c>
      <c r="BY45" s="238">
        <f t="shared" si="20"/>
        <v>1.3265755583971837</v>
      </c>
      <c r="BZ45" s="236"/>
      <c r="CA45" s="237">
        <v>10392269.279999999</v>
      </c>
      <c r="CB45" s="236"/>
      <c r="CC45" s="237">
        <v>9863583</v>
      </c>
      <c r="CD45" s="237">
        <v>6088923.2300000004</v>
      </c>
      <c r="CE45" s="237">
        <f>+CE23+CE25+CE39+CE41+CE43</f>
        <v>-3774659.77</v>
      </c>
      <c r="CF45" s="238">
        <f t="shared" si="22"/>
        <v>0.61731352896812453</v>
      </c>
      <c r="CG45" s="236"/>
      <c r="CH45" s="237">
        <v>14515499.66</v>
      </c>
      <c r="CI45" s="236"/>
      <c r="CJ45" s="237">
        <f t="shared" si="27"/>
        <v>111202302</v>
      </c>
      <c r="CK45" s="237">
        <f t="shared" si="27"/>
        <v>133698743.91999999</v>
      </c>
      <c r="CL45" s="237">
        <f t="shared" si="23"/>
        <v>22496441.919999987</v>
      </c>
      <c r="CM45" s="238">
        <f t="shared" si="28"/>
        <v>1.2023019444327689</v>
      </c>
      <c r="CN45" s="236"/>
      <c r="CO45" s="237">
        <f t="shared" si="29"/>
        <v>125599194.75</v>
      </c>
      <c r="CP45" s="236"/>
      <c r="CQ45" s="237">
        <f t="shared" si="24"/>
        <v>121065885</v>
      </c>
      <c r="CR45" s="237">
        <f t="shared" si="24"/>
        <v>139787667.14999998</v>
      </c>
      <c r="CS45" s="237">
        <f>+CS23+CS25+CS39+CS41+CS43</f>
        <v>22496441.919999994</v>
      </c>
      <c r="CT45" s="238">
        <f t="shared" si="26"/>
        <v>1.1546412695037911</v>
      </c>
      <c r="CU45" s="236"/>
      <c r="CV45" s="237">
        <v>140114694.41</v>
      </c>
      <c r="CW45" s="236"/>
      <c r="CX45" s="243"/>
    </row>
    <row r="46" spans="1:102" s="31" customFormat="1" ht="16.5" customHeight="1" x14ac:dyDescent="0.3">
      <c r="A46" s="29">
        <v>38</v>
      </c>
      <c r="B46" s="30" t="s">
        <v>42</v>
      </c>
      <c r="D46" s="3">
        <v>1003403</v>
      </c>
      <c r="E46" s="3">
        <v>3858031.06</v>
      </c>
      <c r="F46" s="3">
        <f>E46-D46</f>
        <v>2854628.06</v>
      </c>
      <c r="G46" s="32">
        <f t="shared" si="1"/>
        <v>3.8449467063582627</v>
      </c>
      <c r="I46" s="3">
        <v>1645477.13</v>
      </c>
      <c r="J46" s="221"/>
      <c r="K46" s="33">
        <v>1269233</v>
      </c>
      <c r="L46" s="256">
        <v>2851149.14</v>
      </c>
      <c r="M46" s="3">
        <f>L46-K46</f>
        <v>1581916.1400000001</v>
      </c>
      <c r="N46" s="32">
        <f t="shared" si="2"/>
        <v>2.2463559803440347</v>
      </c>
      <c r="P46" s="3">
        <v>2137409.59</v>
      </c>
      <c r="R46" s="3">
        <v>1629036</v>
      </c>
      <c r="S46" s="223">
        <v>2899741.92</v>
      </c>
      <c r="T46" s="3">
        <f>S46-R46</f>
        <v>1270705.92</v>
      </c>
      <c r="U46" s="32">
        <f t="shared" si="4"/>
        <v>1.7800355056610166</v>
      </c>
      <c r="W46" s="3">
        <v>2723063.6100000003</v>
      </c>
      <c r="Y46" s="3">
        <v>2023882</v>
      </c>
      <c r="Z46" s="223">
        <v>3329681.82</v>
      </c>
      <c r="AA46" s="3">
        <f>Z46-Y46</f>
        <v>1305799.8199999998</v>
      </c>
      <c r="AB46" s="32">
        <f t="shared" si="32"/>
        <v>1.6451956289941805</v>
      </c>
      <c r="AD46" s="3">
        <v>2952144.21</v>
      </c>
      <c r="AF46" s="3">
        <v>410727</v>
      </c>
      <c r="AG46" s="3">
        <v>3089852.15</v>
      </c>
      <c r="AH46" s="3">
        <f>AG46-AF46</f>
        <v>2679125.15</v>
      </c>
      <c r="AI46" s="32">
        <f t="shared" si="8"/>
        <v>7.5228853958955701</v>
      </c>
      <c r="AK46" s="3">
        <v>905244.43</v>
      </c>
      <c r="AM46" s="3">
        <v>1621162</v>
      </c>
      <c r="AN46" s="222">
        <v>-1247043</v>
      </c>
      <c r="AO46" s="3">
        <f>AN46+-AM46</f>
        <v>-2868205</v>
      </c>
      <c r="AP46" s="32">
        <f t="shared" si="10"/>
        <v>-0.76922787482065336</v>
      </c>
      <c r="AR46" s="3">
        <v>2883913.72</v>
      </c>
      <c r="AT46" s="3">
        <v>1537950</v>
      </c>
      <c r="AU46" s="3">
        <v>2132666.09</v>
      </c>
      <c r="AV46" s="3">
        <f>AU46-AT46</f>
        <v>594716.08999999985</v>
      </c>
      <c r="AW46" s="32">
        <f t="shared" si="12"/>
        <v>1.3866940342663934</v>
      </c>
      <c r="AY46" s="3">
        <v>3516361.44</v>
      </c>
      <c r="BA46" s="3">
        <v>1661731</v>
      </c>
      <c r="BB46" s="222">
        <v>3263600.35</v>
      </c>
      <c r="BC46" s="222">
        <f>BB46-BA46</f>
        <v>1601869.35</v>
      </c>
      <c r="BD46" s="32">
        <f t="shared" si="14"/>
        <v>1.9639763295021879</v>
      </c>
      <c r="BF46" s="3">
        <v>3032089.06</v>
      </c>
      <c r="BH46" s="3">
        <v>1575887</v>
      </c>
      <c r="BI46" s="222">
        <v>856678.47</v>
      </c>
      <c r="BJ46" s="222">
        <f>BI46-BH46</f>
        <v>-719208.53</v>
      </c>
      <c r="BK46" s="32">
        <f t="shared" si="16"/>
        <v>0.54361668698326715</v>
      </c>
      <c r="BM46" s="224">
        <v>2941240.87</v>
      </c>
      <c r="BO46" s="3">
        <v>1668210</v>
      </c>
      <c r="BP46" s="3">
        <v>3799560.4</v>
      </c>
      <c r="BQ46" s="3">
        <f>BP46-BO46</f>
        <v>2131350.4</v>
      </c>
      <c r="BR46" s="32">
        <f t="shared" si="18"/>
        <v>2.2776271572523843</v>
      </c>
      <c r="BT46" s="3">
        <v>3180674.31</v>
      </c>
      <c r="BV46" s="3">
        <v>359689</v>
      </c>
      <c r="BW46" s="34">
        <v>2231324.81</v>
      </c>
      <c r="BX46" s="3">
        <f>BW46-BV46</f>
        <v>1871635.81</v>
      </c>
      <c r="BY46" s="32">
        <f t="shared" si="20"/>
        <v>6.2034835927704215</v>
      </c>
      <c r="CA46" s="3">
        <v>3056299.79</v>
      </c>
      <c r="CC46" s="3">
        <v>438128</v>
      </c>
      <c r="CD46" s="3">
        <v>2105185.73</v>
      </c>
      <c r="CE46" s="3">
        <f>CD46-CC46</f>
        <v>1667057.73</v>
      </c>
      <c r="CF46" s="32">
        <f t="shared" si="22"/>
        <v>4.8049559261220463</v>
      </c>
      <c r="CH46" s="3">
        <v>1172497.4099999999</v>
      </c>
      <c r="CJ46" s="225">
        <f t="shared" si="27"/>
        <v>14760910</v>
      </c>
      <c r="CK46" s="3">
        <f t="shared" si="27"/>
        <v>27065243.209999997</v>
      </c>
      <c r="CL46" s="3">
        <f t="shared" si="23"/>
        <v>12304333.209999997</v>
      </c>
      <c r="CM46" s="32">
        <f t="shared" si="28"/>
        <v>1.8335755187180192</v>
      </c>
      <c r="CO46" s="3">
        <f t="shared" si="29"/>
        <v>28973918.159999996</v>
      </c>
      <c r="CQ46" s="225">
        <f t="shared" si="24"/>
        <v>15199038</v>
      </c>
      <c r="CR46" s="3">
        <f t="shared" si="24"/>
        <v>29170428.939999998</v>
      </c>
      <c r="CS46" s="3">
        <f>+F46+M46+T46+AA46+AH46+AO46+AV46+BC46+BJ46+BQ46+BX46</f>
        <v>12304333.209999999</v>
      </c>
      <c r="CT46" s="32">
        <f t="shared" si="26"/>
        <v>1.9192286340753932</v>
      </c>
      <c r="CV46" s="3">
        <v>30146415.569999997</v>
      </c>
    </row>
    <row r="47" spans="1:102" s="245" customFormat="1" ht="14.25" customHeight="1" x14ac:dyDescent="0.3">
      <c r="A47" s="234"/>
      <c r="B47" s="235" t="s">
        <v>43</v>
      </c>
      <c r="C47" s="236"/>
      <c r="D47" s="237">
        <v>1003403</v>
      </c>
      <c r="E47" s="237">
        <f>E46</f>
        <v>3858031.06</v>
      </c>
      <c r="F47" s="237">
        <f>+F46</f>
        <v>2854628.06</v>
      </c>
      <c r="G47" s="238">
        <f t="shared" si="1"/>
        <v>3.8449467063582627</v>
      </c>
      <c r="H47" s="236"/>
      <c r="I47" s="237">
        <v>1645477.13</v>
      </c>
      <c r="J47" s="236"/>
      <c r="K47" s="237">
        <v>1269233</v>
      </c>
      <c r="L47" s="237">
        <f>+L46</f>
        <v>2851149.14</v>
      </c>
      <c r="M47" s="237">
        <f>+M46</f>
        <v>1581916.1400000001</v>
      </c>
      <c r="N47" s="238">
        <f t="shared" si="2"/>
        <v>2.2463559803440347</v>
      </c>
      <c r="O47" s="236"/>
      <c r="P47" s="237">
        <v>2137409.59</v>
      </c>
      <c r="Q47" s="236"/>
      <c r="R47" s="237">
        <v>1629036</v>
      </c>
      <c r="S47" s="237">
        <f>+S46</f>
        <v>2899741.92</v>
      </c>
      <c r="T47" s="237">
        <f>+T46</f>
        <v>1270705.92</v>
      </c>
      <c r="U47" s="238">
        <f t="shared" si="4"/>
        <v>1.7800355056610166</v>
      </c>
      <c r="V47" s="236"/>
      <c r="W47" s="237">
        <v>2723063.6100000003</v>
      </c>
      <c r="X47" s="236"/>
      <c r="Y47" s="237">
        <v>2023882</v>
      </c>
      <c r="Z47" s="237">
        <f>+Z46</f>
        <v>3329681.82</v>
      </c>
      <c r="AA47" s="237">
        <f>+AA46</f>
        <v>1305799.8199999998</v>
      </c>
      <c r="AB47" s="238">
        <f t="shared" si="32"/>
        <v>1.6451956289941805</v>
      </c>
      <c r="AC47" s="236"/>
      <c r="AD47" s="237">
        <v>2952144.21</v>
      </c>
      <c r="AE47" s="236"/>
      <c r="AF47" s="237">
        <v>410727</v>
      </c>
      <c r="AG47" s="237">
        <f>+AG46</f>
        <v>3089852.15</v>
      </c>
      <c r="AH47" s="237">
        <f>+AH46</f>
        <v>2679125.15</v>
      </c>
      <c r="AI47" s="238">
        <f t="shared" si="8"/>
        <v>7.5228853958955701</v>
      </c>
      <c r="AJ47" s="236"/>
      <c r="AK47" s="237">
        <v>905244.43</v>
      </c>
      <c r="AL47" s="240"/>
      <c r="AM47" s="237">
        <v>1621162</v>
      </c>
      <c r="AN47" s="237">
        <f>+AN46</f>
        <v>-1247043</v>
      </c>
      <c r="AO47" s="237">
        <f>+AO46</f>
        <v>-2868205</v>
      </c>
      <c r="AP47" s="238">
        <f t="shared" si="10"/>
        <v>-0.76922787482065336</v>
      </c>
      <c r="AQ47" s="236"/>
      <c r="AR47" s="237">
        <v>2883913.72</v>
      </c>
      <c r="AS47" s="236"/>
      <c r="AT47" s="237">
        <v>1537950</v>
      </c>
      <c r="AU47" s="237">
        <f>+AU46</f>
        <v>2132666.09</v>
      </c>
      <c r="AV47" s="237">
        <f>+AV46</f>
        <v>594716.08999999985</v>
      </c>
      <c r="AW47" s="238">
        <f t="shared" si="12"/>
        <v>1.3866940342663934</v>
      </c>
      <c r="AX47" s="236"/>
      <c r="AY47" s="237">
        <v>3516361.44</v>
      </c>
      <c r="AZ47" s="236"/>
      <c r="BA47" s="237">
        <v>1661731</v>
      </c>
      <c r="BB47" s="237">
        <f>+BB46</f>
        <v>3263600.35</v>
      </c>
      <c r="BC47" s="237">
        <f>+BC46</f>
        <v>1601869.35</v>
      </c>
      <c r="BD47" s="238">
        <f t="shared" si="14"/>
        <v>1.9639763295021879</v>
      </c>
      <c r="BE47" s="236"/>
      <c r="BF47" s="237">
        <v>3032089.06</v>
      </c>
      <c r="BG47" s="236"/>
      <c r="BH47" s="237">
        <v>1575887</v>
      </c>
      <c r="BI47" s="237">
        <v>856678.47</v>
      </c>
      <c r="BJ47" s="237">
        <f>+BJ46</f>
        <v>-719208.53</v>
      </c>
      <c r="BK47" s="238">
        <f t="shared" si="16"/>
        <v>0.54361668698326715</v>
      </c>
      <c r="BL47" s="236"/>
      <c r="BM47" s="237">
        <v>2941240.87</v>
      </c>
      <c r="BN47" s="236"/>
      <c r="BO47" s="237">
        <v>1668210</v>
      </c>
      <c r="BP47" s="237">
        <f>BP46</f>
        <v>3799560.4</v>
      </c>
      <c r="BQ47" s="237">
        <f>+BQ46</f>
        <v>2131350.4</v>
      </c>
      <c r="BR47" s="238">
        <f t="shared" si="18"/>
        <v>2.2776271572523843</v>
      </c>
      <c r="BS47" s="236"/>
      <c r="BT47" s="237">
        <v>3180674.31</v>
      </c>
      <c r="BU47" s="236"/>
      <c r="BV47" s="237">
        <v>359689</v>
      </c>
      <c r="BW47" s="237">
        <f>BW46</f>
        <v>2231324.81</v>
      </c>
      <c r="BX47" s="237">
        <f>+BX46</f>
        <v>1871635.81</v>
      </c>
      <c r="BY47" s="238">
        <f t="shared" si="20"/>
        <v>6.2034835927704215</v>
      </c>
      <c r="BZ47" s="236"/>
      <c r="CA47" s="237">
        <v>3056299.79</v>
      </c>
      <c r="CB47" s="236"/>
      <c r="CC47" s="237">
        <v>438128</v>
      </c>
      <c r="CD47" s="237">
        <v>2105185.73</v>
      </c>
      <c r="CE47" s="237">
        <f>+CE46</f>
        <v>1667057.73</v>
      </c>
      <c r="CF47" s="238">
        <f t="shared" si="22"/>
        <v>4.8049559261220463</v>
      </c>
      <c r="CG47" s="236"/>
      <c r="CH47" s="237">
        <v>1172497.4099999999</v>
      </c>
      <c r="CI47" s="236"/>
      <c r="CJ47" s="237">
        <f t="shared" si="27"/>
        <v>14760910</v>
      </c>
      <c r="CK47" s="237">
        <f t="shared" si="27"/>
        <v>27065243.209999997</v>
      </c>
      <c r="CL47" s="237">
        <f t="shared" si="23"/>
        <v>12304333.209999997</v>
      </c>
      <c r="CM47" s="238">
        <f t="shared" si="28"/>
        <v>1.8335755187180192</v>
      </c>
      <c r="CN47" s="236"/>
      <c r="CO47" s="237">
        <f t="shared" si="29"/>
        <v>28973918.159999996</v>
      </c>
      <c r="CP47" s="236"/>
      <c r="CQ47" s="237">
        <f t="shared" si="24"/>
        <v>15199038</v>
      </c>
      <c r="CR47" s="237">
        <f t="shared" si="24"/>
        <v>29170428.939999998</v>
      </c>
      <c r="CS47" s="237">
        <f>+CS46</f>
        <v>12304333.209999999</v>
      </c>
      <c r="CT47" s="238">
        <f t="shared" si="26"/>
        <v>1.9192286340753932</v>
      </c>
      <c r="CU47" s="236"/>
      <c r="CV47" s="237">
        <v>30146415.569999997</v>
      </c>
      <c r="CW47" s="236"/>
      <c r="CX47" s="243"/>
    </row>
    <row r="48" spans="1:102" s="31" customFormat="1" ht="16.5" customHeight="1" x14ac:dyDescent="0.3">
      <c r="A48" s="29">
        <v>39</v>
      </c>
      <c r="B48" s="30" t="s">
        <v>44</v>
      </c>
      <c r="D48" s="3">
        <v>2248995</v>
      </c>
      <c r="E48" s="3">
        <v>10253997.99</v>
      </c>
      <c r="F48" s="3">
        <f>E48-D48</f>
        <v>8005002.9900000002</v>
      </c>
      <c r="G48" s="32">
        <f t="shared" si="1"/>
        <v>4.5593689581346339</v>
      </c>
      <c r="I48" s="3">
        <v>5925956.04</v>
      </c>
      <c r="J48" s="221"/>
      <c r="K48" s="257">
        <v>2115341</v>
      </c>
      <c r="L48" s="222">
        <v>4705408.04</v>
      </c>
      <c r="M48" s="3">
        <f>L48-K48</f>
        <v>2590067.04</v>
      </c>
      <c r="N48" s="32">
        <f t="shared" si="2"/>
        <v>2.224420573326003</v>
      </c>
      <c r="P48" s="3">
        <v>10462608.32</v>
      </c>
      <c r="R48" s="3">
        <v>2489169</v>
      </c>
      <c r="S48" s="223">
        <v>11802978.300000001</v>
      </c>
      <c r="T48" s="3">
        <f>S48-R48</f>
        <v>9313809.3000000007</v>
      </c>
      <c r="U48" s="32">
        <f t="shared" si="4"/>
        <v>4.7417344101585712</v>
      </c>
      <c r="W48" s="3">
        <v>5200636.54</v>
      </c>
      <c r="Y48" s="3">
        <v>2117001</v>
      </c>
      <c r="Z48" s="223">
        <v>13237185.640000001</v>
      </c>
      <c r="AA48" s="3">
        <f>Z48-Y48</f>
        <v>11120184.640000001</v>
      </c>
      <c r="AB48" s="32">
        <f t="shared" si="32"/>
        <v>6.2528008442131116</v>
      </c>
      <c r="AD48" s="3">
        <v>4567352.07</v>
      </c>
      <c r="AF48" s="3">
        <v>1829137</v>
      </c>
      <c r="AG48" s="3">
        <v>13035705.27</v>
      </c>
      <c r="AH48" s="3">
        <f>AG48-AF48</f>
        <v>11206568.27</v>
      </c>
      <c r="AI48" s="32">
        <f t="shared" si="8"/>
        <v>7.1266970544032509</v>
      </c>
      <c r="AK48" s="3">
        <v>1160813.43</v>
      </c>
      <c r="AM48" s="3">
        <v>1788409</v>
      </c>
      <c r="AN48" s="222">
        <v>1220453.54</v>
      </c>
      <c r="AO48" s="3">
        <f>AN48-AM48</f>
        <v>-567955.46</v>
      </c>
      <c r="AP48" s="32">
        <f t="shared" si="10"/>
        <v>0.68242417701990987</v>
      </c>
      <c r="AR48" s="3">
        <v>1205025.26</v>
      </c>
      <c r="AT48" s="3">
        <v>2683863</v>
      </c>
      <c r="AU48" s="3">
        <v>1968373.85</v>
      </c>
      <c r="AV48" s="3">
        <f>AU48-AT48</f>
        <v>-715489.14999999991</v>
      </c>
      <c r="AW48" s="32">
        <f t="shared" si="12"/>
        <v>0.73341070315437118</v>
      </c>
      <c r="AY48" s="3">
        <v>7592394.4400000004</v>
      </c>
      <c r="BA48" s="3">
        <v>1691679</v>
      </c>
      <c r="BB48" s="222">
        <v>1459516.1</v>
      </c>
      <c r="BC48" s="222">
        <f>BB48-BA48</f>
        <v>-232162.89999999991</v>
      </c>
      <c r="BD48" s="32">
        <f t="shared" si="14"/>
        <v>0.86276184784465615</v>
      </c>
      <c r="BF48" s="3">
        <v>1346007.44</v>
      </c>
      <c r="BH48" s="3">
        <v>715263</v>
      </c>
      <c r="BI48" s="222">
        <v>1486429.94</v>
      </c>
      <c r="BJ48" s="222">
        <f>BI48-BH48</f>
        <v>771166.94</v>
      </c>
      <c r="BK48" s="32">
        <f t="shared" si="16"/>
        <v>2.0781585794316215</v>
      </c>
      <c r="BM48" s="224">
        <v>835720.68</v>
      </c>
      <c r="BO48" s="3">
        <v>1846919</v>
      </c>
      <c r="BP48" s="3">
        <v>13633012.550000001</v>
      </c>
      <c r="BQ48" s="3">
        <f>BP48-BO48</f>
        <v>11786093.550000001</v>
      </c>
      <c r="BR48" s="32">
        <f t="shared" si="18"/>
        <v>7.3814891448948226</v>
      </c>
      <c r="BT48" s="3">
        <v>2123906.2200000002</v>
      </c>
      <c r="BV48" s="3">
        <v>756639</v>
      </c>
      <c r="BW48" s="34">
        <v>910429.3</v>
      </c>
      <c r="BX48" s="3">
        <f>BW48-BV48</f>
        <v>153790.30000000005</v>
      </c>
      <c r="BY48" s="32">
        <f t="shared" si="20"/>
        <v>1.2032545242843682</v>
      </c>
      <c r="CA48" s="3">
        <v>1420230.02</v>
      </c>
      <c r="CC48" s="3">
        <v>1152350</v>
      </c>
      <c r="CD48" s="3">
        <v>4572193.2699999996</v>
      </c>
      <c r="CE48" s="3">
        <f>CD48-CC48</f>
        <v>3419843.2699999996</v>
      </c>
      <c r="CF48" s="32">
        <f t="shared" si="22"/>
        <v>3.9677123009502315</v>
      </c>
      <c r="CH48" s="3">
        <v>16516824.970000001</v>
      </c>
      <c r="CJ48" s="225">
        <f t="shared" si="27"/>
        <v>20282415</v>
      </c>
      <c r="CK48" s="3">
        <f t="shared" si="27"/>
        <v>73713490.519999996</v>
      </c>
      <c r="CL48" s="3">
        <f t="shared" si="23"/>
        <v>53431075.519999996</v>
      </c>
      <c r="CM48" s="32">
        <f t="shared" si="28"/>
        <v>3.6343547117046957</v>
      </c>
      <c r="CO48" s="3">
        <f t="shared" si="29"/>
        <v>41840650.460000001</v>
      </c>
      <c r="CQ48" s="225">
        <f t="shared" si="24"/>
        <v>21434765</v>
      </c>
      <c r="CR48" s="3">
        <f t="shared" si="24"/>
        <v>78285683.789999992</v>
      </c>
      <c r="CS48" s="3">
        <f>+F48+M48+T48+AA48+AH48+AO48+AV48+BC48+BJ48+BQ48+BX48</f>
        <v>53431075.519999996</v>
      </c>
      <c r="CT48" s="32">
        <f t="shared" si="26"/>
        <v>3.6522762806123601</v>
      </c>
      <c r="CV48" s="3">
        <v>58357475.43</v>
      </c>
    </row>
    <row r="49" spans="1:102" s="245" customFormat="1" ht="14.25" customHeight="1" x14ac:dyDescent="0.3">
      <c r="A49" s="234"/>
      <c r="B49" s="235" t="s">
        <v>45</v>
      </c>
      <c r="C49" s="236"/>
      <c r="D49" s="237">
        <v>2248995</v>
      </c>
      <c r="E49" s="237">
        <f>E48</f>
        <v>10253997.99</v>
      </c>
      <c r="F49" s="237">
        <f>+F48</f>
        <v>8005002.9900000002</v>
      </c>
      <c r="G49" s="238">
        <f t="shared" si="1"/>
        <v>4.5593689581346339</v>
      </c>
      <c r="H49" s="236"/>
      <c r="I49" s="237">
        <v>5925956.04</v>
      </c>
      <c r="J49" s="236"/>
      <c r="K49" s="237">
        <v>2115341</v>
      </c>
      <c r="L49" s="237">
        <f>+L48</f>
        <v>4705408.04</v>
      </c>
      <c r="M49" s="237">
        <f>+M48</f>
        <v>2590067.04</v>
      </c>
      <c r="N49" s="238">
        <f t="shared" si="2"/>
        <v>2.224420573326003</v>
      </c>
      <c r="O49" s="236"/>
      <c r="P49" s="237">
        <v>10462608.32</v>
      </c>
      <c r="Q49" s="236"/>
      <c r="R49" s="237">
        <v>2489169</v>
      </c>
      <c r="S49" s="237">
        <f>+S48</f>
        <v>11802978.300000001</v>
      </c>
      <c r="T49" s="237">
        <f>+T48</f>
        <v>9313809.3000000007</v>
      </c>
      <c r="U49" s="238">
        <f t="shared" si="4"/>
        <v>4.7417344101585712</v>
      </c>
      <c r="V49" s="236"/>
      <c r="W49" s="237">
        <v>5200636.54</v>
      </c>
      <c r="X49" s="236"/>
      <c r="Y49" s="237">
        <v>2117001</v>
      </c>
      <c r="Z49" s="237">
        <f>+Z48</f>
        <v>13237185.640000001</v>
      </c>
      <c r="AA49" s="237">
        <f>+AA48</f>
        <v>11120184.640000001</v>
      </c>
      <c r="AB49" s="238">
        <f t="shared" si="32"/>
        <v>6.2528008442131116</v>
      </c>
      <c r="AC49" s="236"/>
      <c r="AD49" s="237">
        <v>4567352.07</v>
      </c>
      <c r="AE49" s="236"/>
      <c r="AF49" s="237">
        <v>1829137</v>
      </c>
      <c r="AG49" s="237">
        <f>+AG48</f>
        <v>13035705.27</v>
      </c>
      <c r="AH49" s="237">
        <f>+AH48</f>
        <v>11206568.27</v>
      </c>
      <c r="AI49" s="238">
        <f t="shared" si="8"/>
        <v>7.1266970544032509</v>
      </c>
      <c r="AJ49" s="236"/>
      <c r="AK49" s="237">
        <v>1160813.43</v>
      </c>
      <c r="AL49" s="240"/>
      <c r="AM49" s="237">
        <v>1788409</v>
      </c>
      <c r="AN49" s="237">
        <f>+AN48</f>
        <v>1220453.54</v>
      </c>
      <c r="AO49" s="237">
        <f>AN49-AM49</f>
        <v>-567955.46</v>
      </c>
      <c r="AP49" s="238">
        <f t="shared" si="10"/>
        <v>0.68242417701990987</v>
      </c>
      <c r="AQ49" s="236"/>
      <c r="AR49" s="237">
        <v>1205025.26</v>
      </c>
      <c r="AS49" s="236"/>
      <c r="AT49" s="237">
        <v>2683863</v>
      </c>
      <c r="AU49" s="237">
        <f>+AU48</f>
        <v>1968373.85</v>
      </c>
      <c r="AV49" s="237">
        <f>+AV48</f>
        <v>-715489.14999999991</v>
      </c>
      <c r="AW49" s="238">
        <f t="shared" si="12"/>
        <v>0.73341070315437118</v>
      </c>
      <c r="AX49" s="236"/>
      <c r="AY49" s="237">
        <v>7592394.4400000004</v>
      </c>
      <c r="AZ49" s="236"/>
      <c r="BA49" s="237">
        <v>1691679</v>
      </c>
      <c r="BB49" s="237">
        <f>+BB48</f>
        <v>1459516.1</v>
      </c>
      <c r="BC49" s="237">
        <f>+BC48</f>
        <v>-232162.89999999991</v>
      </c>
      <c r="BD49" s="238">
        <f t="shared" si="14"/>
        <v>0.86276184784465615</v>
      </c>
      <c r="BE49" s="236"/>
      <c r="BF49" s="237">
        <v>1346007.44</v>
      </c>
      <c r="BG49" s="236"/>
      <c r="BH49" s="237">
        <v>715263</v>
      </c>
      <c r="BI49" s="237">
        <v>1486429.94</v>
      </c>
      <c r="BJ49" s="237">
        <f>+BJ48</f>
        <v>771166.94</v>
      </c>
      <c r="BK49" s="238">
        <f t="shared" si="16"/>
        <v>2.0781585794316215</v>
      </c>
      <c r="BL49" s="236"/>
      <c r="BM49" s="237">
        <v>835720.68</v>
      </c>
      <c r="BN49" s="236"/>
      <c r="BO49" s="237">
        <v>1846919</v>
      </c>
      <c r="BP49" s="237">
        <f>BP48</f>
        <v>13633012.550000001</v>
      </c>
      <c r="BQ49" s="237">
        <f>+BQ48</f>
        <v>11786093.550000001</v>
      </c>
      <c r="BR49" s="238">
        <f t="shared" si="18"/>
        <v>7.3814891448948226</v>
      </c>
      <c r="BS49" s="236"/>
      <c r="BT49" s="237">
        <v>2123906.2200000002</v>
      </c>
      <c r="BU49" s="236"/>
      <c r="BV49" s="237">
        <v>756639</v>
      </c>
      <c r="BW49" s="237">
        <f>BW48</f>
        <v>910429.3</v>
      </c>
      <c r="BX49" s="237">
        <f>+BX48</f>
        <v>153790.30000000005</v>
      </c>
      <c r="BY49" s="238">
        <f t="shared" si="20"/>
        <v>1.2032545242843682</v>
      </c>
      <c r="BZ49" s="236"/>
      <c r="CA49" s="237">
        <v>1420230.02</v>
      </c>
      <c r="CB49" s="236"/>
      <c r="CC49" s="237">
        <v>1152350</v>
      </c>
      <c r="CD49" s="237">
        <v>4572193.2699999996</v>
      </c>
      <c r="CE49" s="237">
        <f>+CE48</f>
        <v>3419843.2699999996</v>
      </c>
      <c r="CF49" s="238">
        <f t="shared" si="22"/>
        <v>3.9677123009502315</v>
      </c>
      <c r="CG49" s="236"/>
      <c r="CH49" s="237">
        <v>16516824.970000001</v>
      </c>
      <c r="CI49" s="236"/>
      <c r="CJ49" s="237">
        <f t="shared" si="27"/>
        <v>20282415</v>
      </c>
      <c r="CK49" s="237">
        <f t="shared" si="27"/>
        <v>73713490.519999996</v>
      </c>
      <c r="CL49" s="237">
        <f t="shared" si="23"/>
        <v>53431075.519999996</v>
      </c>
      <c r="CM49" s="238">
        <f t="shared" si="28"/>
        <v>3.6343547117046957</v>
      </c>
      <c r="CN49" s="236"/>
      <c r="CO49" s="237">
        <f t="shared" si="29"/>
        <v>41840650.460000001</v>
      </c>
      <c r="CP49" s="236"/>
      <c r="CQ49" s="237">
        <f t="shared" si="24"/>
        <v>21434765</v>
      </c>
      <c r="CR49" s="237">
        <f t="shared" si="24"/>
        <v>78285683.789999992</v>
      </c>
      <c r="CS49" s="237">
        <f>+CS48</f>
        <v>53431075.519999996</v>
      </c>
      <c r="CT49" s="238">
        <f>IFERROR(CR49/CQ49,0)</f>
        <v>3.6522762806123601</v>
      </c>
      <c r="CU49" s="236"/>
      <c r="CV49" s="237">
        <v>58357475.43</v>
      </c>
      <c r="CW49" s="236"/>
      <c r="CX49" s="243"/>
    </row>
    <row r="50" spans="1:102" s="31" customFormat="1" ht="16.5" customHeight="1" x14ac:dyDescent="0.3">
      <c r="A50" s="47"/>
      <c r="B50" s="48" t="s">
        <v>46</v>
      </c>
      <c r="D50" s="11">
        <f>D49+D47+D45+D22+D18</f>
        <v>171023353</v>
      </c>
      <c r="E50" s="11">
        <f>E49+E47+E45+E22+E18</f>
        <v>205957019.03</v>
      </c>
      <c r="F50" s="11">
        <f>E50-D50</f>
        <v>34933666.030000001</v>
      </c>
      <c r="G50" s="49">
        <f t="shared" si="1"/>
        <v>1.2042625490449834</v>
      </c>
      <c r="I50" s="11">
        <v>173116371.91000003</v>
      </c>
      <c r="J50" s="221"/>
      <c r="K50" s="8">
        <f>K49+K47+K45+K22+K18</f>
        <v>48765291</v>
      </c>
      <c r="L50" s="11">
        <f>L49+L47+L45+L22+L18</f>
        <v>55552594.810000002</v>
      </c>
      <c r="M50" s="11">
        <f t="shared" ref="M50:M61" si="46">L50-K50</f>
        <v>6787303.8100000024</v>
      </c>
      <c r="N50" s="49">
        <f t="shared" si="2"/>
        <v>1.1391830884388654</v>
      </c>
      <c r="O50" s="259"/>
      <c r="P50" s="11">
        <v>62932633.079999991</v>
      </c>
      <c r="R50" s="11">
        <f>R49+R47+R45+R22+R18</f>
        <v>50390179</v>
      </c>
      <c r="S50" s="260">
        <f>S49+S47+S45+S22+S18</f>
        <v>64779435.039999999</v>
      </c>
      <c r="T50" s="11">
        <f>S50-R50</f>
        <v>14389256.039999999</v>
      </c>
      <c r="U50" s="49">
        <f t="shared" si="4"/>
        <v>1.2855567558114847</v>
      </c>
      <c r="W50" s="11">
        <v>57784400.449999996</v>
      </c>
      <c r="Y50" s="11">
        <f>Y49+Y47+Y45+Y22+Y18</f>
        <v>57793835</v>
      </c>
      <c r="Z50" s="260">
        <f>Z49+Z47+Z45+Z22+Z18</f>
        <v>66024174.759999998</v>
      </c>
      <c r="AA50" s="11">
        <f>Z50-Y50</f>
        <v>8230339.7599999979</v>
      </c>
      <c r="AB50" s="49">
        <f t="shared" si="32"/>
        <v>1.1424086108838425</v>
      </c>
      <c r="AD50" s="11">
        <v>66705063.280000001</v>
      </c>
      <c r="AE50" s="126"/>
      <c r="AF50" s="11">
        <f>AF49+AF47+AF45+AF22+AF18</f>
        <v>55834512</v>
      </c>
      <c r="AG50" s="11">
        <f>AG49+AG47+AG45+AG22+AG18</f>
        <v>69803166.329999983</v>
      </c>
      <c r="AH50" s="11">
        <f>AG50-AF50</f>
        <v>13968654.329999983</v>
      </c>
      <c r="AI50" s="49">
        <f t="shared" si="8"/>
        <v>1.2501795722688502</v>
      </c>
      <c r="AK50" s="11">
        <v>57837659.68</v>
      </c>
      <c r="AM50" s="11">
        <f>AM49+AM47+AM45+AM22+AM18</f>
        <v>28919562</v>
      </c>
      <c r="AN50" s="260">
        <f>AN49+AN47+AN45+AN22+AN18</f>
        <v>47709897.560000002</v>
      </c>
      <c r="AO50" s="11">
        <f>AN50-AM50</f>
        <v>18790335.560000002</v>
      </c>
      <c r="AP50" s="49">
        <f t="shared" si="10"/>
        <v>1.649744818403543</v>
      </c>
      <c r="AR50" s="11">
        <v>50993012.759999998</v>
      </c>
      <c r="AT50" s="11">
        <f>AT49+AT47+AT45+AT22+AT18</f>
        <v>45969985</v>
      </c>
      <c r="AU50" s="11">
        <f>AU49+AU47+AU45+AU22+AU18</f>
        <v>52568465.380000003</v>
      </c>
      <c r="AV50" s="11">
        <f>AU50-AT50</f>
        <v>6598480.3800000027</v>
      </c>
      <c r="AW50" s="49">
        <f t="shared" si="12"/>
        <v>1.1435388847744894</v>
      </c>
      <c r="AY50" s="11">
        <v>53786365.799999997</v>
      </c>
      <c r="BA50" s="11">
        <f>BA49+BA47+BA45+BA22+BA18</f>
        <v>51712737</v>
      </c>
      <c r="BB50" s="260">
        <f>BB49+BB47+BB45+BB22+BB18</f>
        <v>62185921.839999996</v>
      </c>
      <c r="BC50" s="260">
        <f>BB50-BA50</f>
        <v>10473184.839999996</v>
      </c>
      <c r="BD50" s="49">
        <f t="shared" si="14"/>
        <v>1.2025262139963699</v>
      </c>
      <c r="BF50" s="11">
        <v>55975233.800000004</v>
      </c>
      <c r="BH50" s="11">
        <f>BH49+BH47+BH45+BH22+BH18</f>
        <v>16643295</v>
      </c>
      <c r="BI50" s="11">
        <f>BI49+BI47+BI45+BI22+BI18</f>
        <v>39384833.539999999</v>
      </c>
      <c r="BJ50" s="260">
        <f>BI50-BH50</f>
        <v>22741538.539999999</v>
      </c>
      <c r="BK50" s="49">
        <f t="shared" si="16"/>
        <v>2.366408426937094</v>
      </c>
      <c r="BM50" s="11">
        <v>49681359.079999998</v>
      </c>
      <c r="BN50" s="229"/>
      <c r="BO50" s="11">
        <f>BO49+BO47+BO45+BO22+BO18</f>
        <v>68615690</v>
      </c>
      <c r="BP50" s="11">
        <f>BP49+BP47+BP45+BP22+BP18</f>
        <v>86262037.039999992</v>
      </c>
      <c r="BQ50" s="11">
        <f>BP50-BO50</f>
        <v>17646347.039999992</v>
      </c>
      <c r="BR50" s="49">
        <f t="shared" si="18"/>
        <v>1.257176558889082</v>
      </c>
      <c r="BT50" s="11">
        <v>66962167.060000002</v>
      </c>
      <c r="BV50" s="11">
        <f>BV49+BV47+BV45+BV22+BV18</f>
        <v>51659698</v>
      </c>
      <c r="BW50" s="11">
        <f>BW49+BW47+BW45+BW22+BW18</f>
        <v>66846955.359999999</v>
      </c>
      <c r="BX50" s="11">
        <f>BW50-BV50</f>
        <v>15187257.359999999</v>
      </c>
      <c r="BY50" s="49">
        <f t="shared" si="20"/>
        <v>1.2939865687948853</v>
      </c>
      <c r="CA50" s="11">
        <v>52111051.799999997</v>
      </c>
      <c r="CC50" s="11">
        <f>CC49+CC47+CC45+CC22+CC18</f>
        <v>50351530</v>
      </c>
      <c r="CD50" s="11">
        <v>57341760.609999999</v>
      </c>
      <c r="CE50" s="11">
        <f>CD50-CC50</f>
        <v>6990230.6099999994</v>
      </c>
      <c r="CF50" s="49">
        <f t="shared" si="22"/>
        <v>1.1388285640972577</v>
      </c>
      <c r="CH50" s="8">
        <v>77765418.25999999</v>
      </c>
      <c r="CJ50" s="262">
        <f t="shared" si="27"/>
        <v>647328137</v>
      </c>
      <c r="CK50" s="11">
        <f t="shared" si="27"/>
        <v>817074500.68999994</v>
      </c>
      <c r="CL50" s="11">
        <f t="shared" si="23"/>
        <v>169746363.68999994</v>
      </c>
      <c r="CM50" s="49">
        <f t="shared" si="28"/>
        <v>1.2622261477412033</v>
      </c>
      <c r="CO50" s="11">
        <f t="shared" si="29"/>
        <v>747885318.70000005</v>
      </c>
      <c r="CQ50" s="262">
        <f t="shared" ref="CQ50:CR68" si="47">+D50+K50+R50+Y50+AF50+AM50+AT50+BA50+BH50+BO50+BV50+CC50</f>
        <v>697679667</v>
      </c>
      <c r="CR50" s="11">
        <f>CR49+CR47+CR45+CR22+CR18</f>
        <v>874416261.29999995</v>
      </c>
      <c r="CS50" s="11">
        <f>CR50-CQ50</f>
        <v>176736594.29999995</v>
      </c>
      <c r="CT50" s="49">
        <f t="shared" si="26"/>
        <v>1.2533205461755272</v>
      </c>
      <c r="CV50" s="11">
        <v>825650736.96000004</v>
      </c>
    </row>
    <row r="51" spans="1:102" s="26" customFormat="1" ht="16.5" customHeight="1" x14ac:dyDescent="0.3">
      <c r="A51" s="35">
        <v>43</v>
      </c>
      <c r="B51" s="36" t="s">
        <v>47</v>
      </c>
      <c r="D51" s="5"/>
      <c r="E51" s="5"/>
      <c r="F51" s="5"/>
      <c r="G51" s="263"/>
      <c r="I51" s="5"/>
      <c r="J51" s="218"/>
      <c r="K51" s="5"/>
      <c r="L51" s="227"/>
      <c r="M51" s="5"/>
      <c r="N51" s="37"/>
      <c r="P51" s="5"/>
      <c r="R51" s="5"/>
      <c r="S51" s="227"/>
      <c r="T51" s="5"/>
      <c r="U51" s="263"/>
      <c r="W51" s="5"/>
      <c r="Y51" s="5"/>
      <c r="Z51" s="227"/>
      <c r="AA51" s="5"/>
      <c r="AB51" s="263"/>
      <c r="AD51" s="5"/>
      <c r="AF51" s="5"/>
      <c r="AG51" s="5"/>
      <c r="AH51" s="5"/>
      <c r="AI51" s="37"/>
      <c r="AK51" s="5"/>
      <c r="AM51" s="5"/>
      <c r="AN51" s="227"/>
      <c r="AO51" s="5"/>
      <c r="AP51" s="37"/>
      <c r="AR51" s="5"/>
      <c r="AT51" s="5"/>
      <c r="AU51" s="5"/>
      <c r="AV51" s="5"/>
      <c r="AW51" s="37"/>
      <c r="AY51" s="5"/>
      <c r="BA51" s="5"/>
      <c r="BB51" s="227"/>
      <c r="BC51" s="227"/>
      <c r="BD51" s="37"/>
      <c r="BF51" s="5"/>
      <c r="BH51" s="5"/>
      <c r="BI51" s="227"/>
      <c r="BJ51" s="227"/>
      <c r="BK51" s="37"/>
      <c r="BM51" s="5"/>
      <c r="BO51" s="5"/>
      <c r="BP51" s="5"/>
      <c r="BQ51" s="5"/>
      <c r="BR51" s="37"/>
      <c r="BT51" s="5"/>
      <c r="BV51" s="5"/>
      <c r="BW51" s="5"/>
      <c r="BX51" s="5"/>
      <c r="BY51" s="37"/>
      <c r="CA51" s="5"/>
      <c r="CC51" s="5"/>
      <c r="CD51" s="5"/>
      <c r="CE51" s="5">
        <f t="shared" ref="CE51:CE61" si="48">+CD51-CC51</f>
        <v>0</v>
      </c>
      <c r="CF51" s="37"/>
      <c r="CH51" s="5">
        <v>25053890</v>
      </c>
      <c r="CJ51" s="228">
        <f t="shared" si="27"/>
        <v>0</v>
      </c>
      <c r="CK51" s="5">
        <f t="shared" si="27"/>
        <v>0</v>
      </c>
      <c r="CL51" s="5"/>
      <c r="CM51" s="37"/>
      <c r="CO51" s="5">
        <f t="shared" si="29"/>
        <v>0</v>
      </c>
      <c r="CQ51" s="228">
        <f t="shared" si="47"/>
        <v>0</v>
      </c>
      <c r="CR51" s="5"/>
      <c r="CS51" s="5"/>
      <c r="CT51" s="37"/>
      <c r="CV51" s="5"/>
    </row>
    <row r="52" spans="1:102" s="26" customFormat="1" ht="16.5" customHeight="1" x14ac:dyDescent="0.3">
      <c r="A52" s="29"/>
      <c r="B52" s="30" t="s">
        <v>48</v>
      </c>
      <c r="D52" s="3">
        <v>13269020</v>
      </c>
      <c r="E52" s="3">
        <v>13165846</v>
      </c>
      <c r="F52" s="3">
        <f t="shared" ref="F52:F61" si="49">E52-D52</f>
        <v>-103174</v>
      </c>
      <c r="G52" s="32">
        <f t="shared" ref="G52:G62" si="50">IFERROR(E52/D52,0)</f>
        <v>0.9922244446085694</v>
      </c>
      <c r="I52" s="3">
        <v>12805962</v>
      </c>
      <c r="J52" s="218"/>
      <c r="K52" s="33">
        <v>16977541</v>
      </c>
      <c r="L52" s="222">
        <v>12607501</v>
      </c>
      <c r="M52" s="3">
        <f t="shared" si="46"/>
        <v>-4370040</v>
      </c>
      <c r="N52" s="32">
        <f t="shared" si="2"/>
        <v>0.74259876621708643</v>
      </c>
      <c r="P52" s="3">
        <v>15965478</v>
      </c>
      <c r="R52" s="3">
        <v>13677298</v>
      </c>
      <c r="S52" s="223">
        <v>13707522</v>
      </c>
      <c r="T52" s="3">
        <f t="shared" ref="T52:T61" si="51">S52-R52</f>
        <v>30224</v>
      </c>
      <c r="U52" s="32">
        <f t="shared" ref="U52:U72" si="52">IFERROR(S52/R52,0)</f>
        <v>1.0022097931916085</v>
      </c>
      <c r="W52" s="3">
        <v>12780284</v>
      </c>
      <c r="Y52" s="3">
        <v>15174315</v>
      </c>
      <c r="Z52" s="223">
        <v>18514023</v>
      </c>
      <c r="AA52" s="3">
        <f t="shared" ref="AA52:AA61" si="53">Z52-Y52</f>
        <v>3339708</v>
      </c>
      <c r="AB52" s="32">
        <f t="shared" ref="AB52:AB62" si="54">IFERROR(Z52/Y52,0)</f>
        <v>1.2200895394619131</v>
      </c>
      <c r="AD52" s="3">
        <v>14222776</v>
      </c>
      <c r="AF52" s="3">
        <v>17402830</v>
      </c>
      <c r="AG52" s="3">
        <v>14806722</v>
      </c>
      <c r="AH52" s="3">
        <f>AG52-AF52</f>
        <v>-2596108</v>
      </c>
      <c r="AI52" s="32">
        <f>IFERROR(AG52/AF52,0)</f>
        <v>0.85082265355692144</v>
      </c>
      <c r="AK52" s="3">
        <v>16383721</v>
      </c>
      <c r="AM52" s="3">
        <v>17113633</v>
      </c>
      <c r="AN52" s="222">
        <v>17843539</v>
      </c>
      <c r="AO52" s="3">
        <f t="shared" ref="AO52:AO61" si="55">AN52-AM52</f>
        <v>729906</v>
      </c>
      <c r="AP52" s="32">
        <f t="shared" ref="AP52:AP69" si="56">IFERROR(AN52/AM52,0)</f>
        <v>1.0426505581836423</v>
      </c>
      <c r="AR52" s="3">
        <v>16110178</v>
      </c>
      <c r="AT52" s="3">
        <v>14051552</v>
      </c>
      <c r="AU52" s="3">
        <v>15120211</v>
      </c>
      <c r="AV52" s="3">
        <f t="shared" ref="AV52:AV61" si="57">AU52-AT52</f>
        <v>1068659</v>
      </c>
      <c r="AW52" s="32">
        <f t="shared" ref="AW52:AW70" si="58">IFERROR(AU52/AT52,0)</f>
        <v>1.0760527378043365</v>
      </c>
      <c r="AY52" s="3">
        <v>13151261</v>
      </c>
      <c r="BA52" s="3">
        <v>15157303</v>
      </c>
      <c r="BB52" s="222">
        <v>16322107</v>
      </c>
      <c r="BC52" s="222">
        <f t="shared" ref="BC52:BC61" si="59">BB52-BA52</f>
        <v>1164804</v>
      </c>
      <c r="BD52" s="32">
        <f t="shared" ref="BD52:BD62" si="60">IFERROR(BB52/BA52,0)</f>
        <v>1.0768477083291137</v>
      </c>
      <c r="BF52" s="3">
        <v>14643735</v>
      </c>
      <c r="BH52" s="3">
        <v>13507182</v>
      </c>
      <c r="BI52" s="222">
        <v>13559095.300000001</v>
      </c>
      <c r="BJ52" s="222">
        <f t="shared" ref="BJ52:BJ61" si="61">BI52-BH52</f>
        <v>51913.300000000745</v>
      </c>
      <c r="BK52" s="32">
        <f t="shared" ref="BK52:BK62" si="62">IFERROR(BI52/BH52,0)</f>
        <v>1.0038433849488368</v>
      </c>
      <c r="BM52" s="3">
        <v>13043963</v>
      </c>
      <c r="BO52" s="3">
        <v>9662569</v>
      </c>
      <c r="BP52" s="3">
        <v>11496253</v>
      </c>
      <c r="BQ52" s="3">
        <f t="shared" ref="BQ52:BQ61" si="63">BP52-BO52</f>
        <v>1833684</v>
      </c>
      <c r="BR52" s="32">
        <f t="shared" ref="BR52:BR62" si="64">IFERROR(BP52/BO52,0)</f>
        <v>1.1897718919264639</v>
      </c>
      <c r="BT52" s="3">
        <v>9782971</v>
      </c>
      <c r="BV52" s="3">
        <v>11703956</v>
      </c>
      <c r="BW52" s="34">
        <v>14619962</v>
      </c>
      <c r="BX52" s="3">
        <f t="shared" ref="BX52:BX61" si="65">BW52-BV52</f>
        <v>2916006</v>
      </c>
      <c r="BY52" s="32">
        <f t="shared" ref="BY52:BY62" si="66">IFERROR(BW52/BV52,0)</f>
        <v>1.2491470405391134</v>
      </c>
      <c r="CA52" s="3">
        <v>11308508</v>
      </c>
      <c r="CC52" s="3">
        <v>12418439</v>
      </c>
      <c r="CD52" s="3">
        <v>14099827</v>
      </c>
      <c r="CE52" s="9">
        <f t="shared" si="48"/>
        <v>1681388</v>
      </c>
      <c r="CF52" s="32">
        <f t="shared" ref="CF52:CF62" si="67">IFERROR(CD52/CC52,0)</f>
        <v>1.1353944726869456</v>
      </c>
      <c r="CH52" s="3">
        <v>11992030</v>
      </c>
      <c r="CJ52" s="225">
        <f t="shared" si="27"/>
        <v>157697199</v>
      </c>
      <c r="CK52" s="3">
        <f t="shared" si="27"/>
        <v>161762781.30000001</v>
      </c>
      <c r="CL52" s="3">
        <f t="shared" si="23"/>
        <v>4065582.3000000119</v>
      </c>
      <c r="CM52" s="32">
        <f t="shared" ref="CM52:CM62" si="68">IFERROR(CK52/CJ52,0)</f>
        <v>1.0257809417401258</v>
      </c>
      <c r="CO52" s="3">
        <f t="shared" si="29"/>
        <v>150198837</v>
      </c>
      <c r="CQ52" s="225">
        <f t="shared" si="47"/>
        <v>170115638</v>
      </c>
      <c r="CR52" s="3">
        <f t="shared" si="47"/>
        <v>175862608.30000001</v>
      </c>
      <c r="CS52" s="3">
        <f t="shared" ref="CS52:CS61" si="69">+F52+M52+T52+AA52+AH52+AO52+AV52+BC52+BJ52+BQ52+BX52</f>
        <v>4065582.3000000007</v>
      </c>
      <c r="CT52" s="32">
        <f t="shared" ref="CT52:CT62" si="70">IFERROR(CR52/CQ52,0)</f>
        <v>1.0337827278406939</v>
      </c>
      <c r="CV52" s="3">
        <v>162190867</v>
      </c>
    </row>
    <row r="53" spans="1:102" s="26" customFormat="1" ht="16.5" customHeight="1" x14ac:dyDescent="0.3">
      <c r="A53" s="29"/>
      <c r="B53" s="30" t="s">
        <v>49</v>
      </c>
      <c r="D53" s="3">
        <v>4285377</v>
      </c>
      <c r="E53" s="3">
        <v>4340544</v>
      </c>
      <c r="F53" s="3">
        <f t="shared" si="49"/>
        <v>55167</v>
      </c>
      <c r="G53" s="32">
        <f t="shared" si="50"/>
        <v>1.0128733131297434</v>
      </c>
      <c r="I53" s="3">
        <v>4197877</v>
      </c>
      <c r="J53" s="218"/>
      <c r="K53" s="33">
        <v>4876834</v>
      </c>
      <c r="L53" s="222">
        <v>5087196</v>
      </c>
      <c r="M53" s="3">
        <f t="shared" si="46"/>
        <v>210362</v>
      </c>
      <c r="N53" s="32">
        <f t="shared" si="2"/>
        <v>1.043134951897071</v>
      </c>
      <c r="P53" s="3">
        <v>4708230</v>
      </c>
      <c r="R53" s="3">
        <v>4355276</v>
      </c>
      <c r="S53" s="223">
        <v>4445108</v>
      </c>
      <c r="T53" s="3">
        <f t="shared" si="51"/>
        <v>89832</v>
      </c>
      <c r="U53" s="32">
        <f t="shared" si="52"/>
        <v>1.0206260177311381</v>
      </c>
      <c r="W53" s="3">
        <v>4199618</v>
      </c>
      <c r="Y53" s="3">
        <v>4613367</v>
      </c>
      <c r="Z53" s="223">
        <v>4629624</v>
      </c>
      <c r="AA53" s="3">
        <f t="shared" si="53"/>
        <v>16257</v>
      </c>
      <c r="AB53" s="32">
        <f t="shared" si="54"/>
        <v>1.0035238904687185</v>
      </c>
      <c r="AD53" s="3">
        <v>4449671</v>
      </c>
      <c r="AF53" s="3">
        <v>4823065</v>
      </c>
      <c r="AG53" s="3">
        <v>5020800</v>
      </c>
      <c r="AH53" s="3">
        <f t="shared" ref="AH53:AH61" si="71">AG53-AF53</f>
        <v>197735</v>
      </c>
      <c r="AI53" s="32">
        <f t="shared" ref="AI53:AI62" si="72">IFERROR(AG53/AF53,0)</f>
        <v>1.0409977887505144</v>
      </c>
      <c r="AK53" s="3">
        <v>4656875</v>
      </c>
      <c r="AM53" s="3">
        <v>5247839</v>
      </c>
      <c r="AN53" s="222">
        <v>4954686</v>
      </c>
      <c r="AO53" s="3">
        <f t="shared" si="55"/>
        <v>-293153</v>
      </c>
      <c r="AP53" s="32">
        <f t="shared" si="56"/>
        <v>0.94413833960988514</v>
      </c>
      <c r="AR53" s="3">
        <v>5071119</v>
      </c>
      <c r="AT53" s="3">
        <v>4468191</v>
      </c>
      <c r="AU53" s="3">
        <v>4647557</v>
      </c>
      <c r="AV53" s="3">
        <f t="shared" si="57"/>
        <v>179366</v>
      </c>
      <c r="AW53" s="32">
        <f t="shared" si="58"/>
        <v>1.0401428676616555</v>
      </c>
      <c r="AY53" s="3">
        <v>4309453</v>
      </c>
      <c r="BA53" s="3">
        <v>4672512</v>
      </c>
      <c r="BB53" s="222">
        <v>4866277</v>
      </c>
      <c r="BC53" s="222">
        <f t="shared" si="59"/>
        <v>193765</v>
      </c>
      <c r="BD53" s="32">
        <f t="shared" si="60"/>
        <v>1.0414691283831909</v>
      </c>
      <c r="BF53" s="3">
        <v>4577224</v>
      </c>
      <c r="BH53" s="3">
        <v>4366030</v>
      </c>
      <c r="BI53" s="3">
        <v>4366030</v>
      </c>
      <c r="BJ53" s="222">
        <f t="shared" si="61"/>
        <v>0</v>
      </c>
      <c r="BK53" s="32">
        <f t="shared" si="62"/>
        <v>1</v>
      </c>
      <c r="BM53" s="3">
        <v>4274861</v>
      </c>
      <c r="BO53" s="3">
        <v>3742311</v>
      </c>
      <c r="BP53" s="3">
        <v>3802604</v>
      </c>
      <c r="BQ53" s="3">
        <f t="shared" si="63"/>
        <v>60293</v>
      </c>
      <c r="BR53" s="32">
        <f t="shared" si="64"/>
        <v>1.0161111676715271</v>
      </c>
      <c r="BT53" s="3">
        <v>3663170</v>
      </c>
      <c r="BV53" s="3">
        <v>4124070</v>
      </c>
      <c r="BW53" s="34">
        <v>4554682</v>
      </c>
      <c r="BX53" s="3">
        <f t="shared" si="65"/>
        <v>430612</v>
      </c>
      <c r="BY53" s="32">
        <f t="shared" si="66"/>
        <v>1.1044143285637731</v>
      </c>
      <c r="CA53" s="3">
        <v>4037887</v>
      </c>
      <c r="CC53" s="3">
        <v>4193971</v>
      </c>
      <c r="CD53" s="3">
        <v>4496951</v>
      </c>
      <c r="CE53" s="9">
        <f t="shared" si="48"/>
        <v>302980</v>
      </c>
      <c r="CF53" s="32">
        <f t="shared" si="67"/>
        <v>1.0722417966170963</v>
      </c>
      <c r="CH53" s="3">
        <v>4104602</v>
      </c>
      <c r="CJ53" s="225">
        <f t="shared" si="27"/>
        <v>49574872</v>
      </c>
      <c r="CK53" s="3">
        <f t="shared" si="27"/>
        <v>50715108</v>
      </c>
      <c r="CL53" s="3">
        <f t="shared" si="23"/>
        <v>1140236</v>
      </c>
      <c r="CM53" s="32">
        <f t="shared" si="68"/>
        <v>1.023000281271528</v>
      </c>
      <c r="CO53" s="3">
        <f t="shared" si="29"/>
        <v>48145985</v>
      </c>
      <c r="CQ53" s="225">
        <f t="shared" si="47"/>
        <v>53768843</v>
      </c>
      <c r="CR53" s="3">
        <f t="shared" si="47"/>
        <v>55212059</v>
      </c>
      <c r="CS53" s="3">
        <f t="shared" si="69"/>
        <v>1140236</v>
      </c>
      <c r="CT53" s="32">
        <f t="shared" si="70"/>
        <v>1.0268411206095693</v>
      </c>
      <c r="CV53" s="3">
        <v>52250587</v>
      </c>
    </row>
    <row r="54" spans="1:102" s="26" customFormat="1" ht="16.5" customHeight="1" x14ac:dyDescent="0.3">
      <c r="A54" s="29"/>
      <c r="B54" s="30" t="s">
        <v>50</v>
      </c>
      <c r="D54" s="3">
        <v>305300</v>
      </c>
      <c r="E54" s="3">
        <v>321675</v>
      </c>
      <c r="F54" s="3">
        <f t="shared" si="49"/>
        <v>16375</v>
      </c>
      <c r="G54" s="32">
        <f t="shared" si="50"/>
        <v>1.0536357680969539</v>
      </c>
      <c r="I54" s="3">
        <v>318827</v>
      </c>
      <c r="J54" s="218"/>
      <c r="K54" s="33">
        <v>364822</v>
      </c>
      <c r="L54" s="222">
        <v>320770</v>
      </c>
      <c r="M54" s="3">
        <f t="shared" si="46"/>
        <v>-44052</v>
      </c>
      <c r="N54" s="32">
        <f t="shared" si="2"/>
        <v>0.87925070308259923</v>
      </c>
      <c r="P54" s="3">
        <v>381102</v>
      </c>
      <c r="R54" s="3">
        <v>403693</v>
      </c>
      <c r="S54" s="223">
        <v>597331</v>
      </c>
      <c r="T54" s="3">
        <f t="shared" si="51"/>
        <v>193638</v>
      </c>
      <c r="U54" s="32">
        <f t="shared" si="52"/>
        <v>1.4796664792305043</v>
      </c>
      <c r="W54" s="3">
        <v>421799</v>
      </c>
      <c r="Y54" s="3">
        <v>215006</v>
      </c>
      <c r="Z54" s="223">
        <v>213530</v>
      </c>
      <c r="AA54" s="3">
        <f t="shared" si="53"/>
        <v>-1476</v>
      </c>
      <c r="AB54" s="32">
        <f t="shared" si="54"/>
        <v>0.99313507530022416</v>
      </c>
      <c r="AD54" s="3">
        <v>224746</v>
      </c>
      <c r="AF54" s="3">
        <v>259141</v>
      </c>
      <c r="AG54" s="3">
        <v>371597</v>
      </c>
      <c r="AH54" s="3">
        <f t="shared" si="71"/>
        <v>112456</v>
      </c>
      <c r="AI54" s="32">
        <f t="shared" si="72"/>
        <v>1.4339568034390544</v>
      </c>
      <c r="AK54" s="3">
        <v>270641</v>
      </c>
      <c r="AM54" s="3">
        <v>447018</v>
      </c>
      <c r="AN54" s="222">
        <v>588740</v>
      </c>
      <c r="AO54" s="3">
        <f t="shared" si="55"/>
        <v>141722</v>
      </c>
      <c r="AP54" s="32">
        <f t="shared" si="56"/>
        <v>1.3170386874801463</v>
      </c>
      <c r="AR54" s="3">
        <v>467104</v>
      </c>
      <c r="AT54" s="3">
        <v>338908</v>
      </c>
      <c r="AU54" s="3">
        <v>407440</v>
      </c>
      <c r="AV54" s="3">
        <f t="shared" si="57"/>
        <v>68532</v>
      </c>
      <c r="AW54" s="32">
        <f t="shared" si="58"/>
        <v>1.2022141702172862</v>
      </c>
      <c r="AY54" s="3">
        <v>354332</v>
      </c>
      <c r="BA54" s="3">
        <v>323116</v>
      </c>
      <c r="BB54" s="222">
        <v>644343</v>
      </c>
      <c r="BC54" s="222">
        <f t="shared" si="59"/>
        <v>321227</v>
      </c>
      <c r="BD54" s="32">
        <f t="shared" si="60"/>
        <v>1.9941538023496206</v>
      </c>
      <c r="BF54" s="3">
        <v>337769</v>
      </c>
      <c r="BH54" s="3">
        <v>429607</v>
      </c>
      <c r="BI54" s="3">
        <v>429607</v>
      </c>
      <c r="BJ54" s="222">
        <f t="shared" si="61"/>
        <v>0</v>
      </c>
      <c r="BK54" s="32">
        <f t="shared" si="62"/>
        <v>1</v>
      </c>
      <c r="BM54" s="3">
        <v>448804</v>
      </c>
      <c r="BO54" s="3">
        <v>367251</v>
      </c>
      <c r="BP54" s="3">
        <v>478943</v>
      </c>
      <c r="BQ54" s="3">
        <f t="shared" si="63"/>
        <v>111692</v>
      </c>
      <c r="BR54" s="32">
        <f t="shared" si="64"/>
        <v>1.3041298730296174</v>
      </c>
      <c r="BT54" s="3">
        <v>383837</v>
      </c>
      <c r="BV54" s="3">
        <v>284245</v>
      </c>
      <c r="BW54" s="34">
        <v>436780</v>
      </c>
      <c r="BX54" s="3">
        <f t="shared" si="65"/>
        <v>152535</v>
      </c>
      <c r="BY54" s="32">
        <f t="shared" si="66"/>
        <v>1.5366321307322908</v>
      </c>
      <c r="CA54" s="3">
        <v>297069</v>
      </c>
      <c r="CC54" s="3">
        <v>310969</v>
      </c>
      <c r="CD54" s="3">
        <v>451487</v>
      </c>
      <c r="CE54" s="9">
        <f t="shared" si="48"/>
        <v>140518</v>
      </c>
      <c r="CF54" s="32">
        <f t="shared" si="67"/>
        <v>1.4518714084040532</v>
      </c>
      <c r="CH54" s="3">
        <v>324833</v>
      </c>
      <c r="CJ54" s="225">
        <f t="shared" si="27"/>
        <v>3738107</v>
      </c>
      <c r="CK54" s="3">
        <f t="shared" si="27"/>
        <v>4810756</v>
      </c>
      <c r="CL54" s="3">
        <f t="shared" si="23"/>
        <v>1072649</v>
      </c>
      <c r="CM54" s="32">
        <f t="shared" si="68"/>
        <v>1.2869497850115046</v>
      </c>
      <c r="CO54" s="3">
        <f t="shared" si="29"/>
        <v>3906030</v>
      </c>
      <c r="CQ54" s="225">
        <f t="shared" si="47"/>
        <v>4049076</v>
      </c>
      <c r="CR54" s="3">
        <f t="shared" si="47"/>
        <v>5262243</v>
      </c>
      <c r="CS54" s="3">
        <f t="shared" si="69"/>
        <v>1072649</v>
      </c>
      <c r="CT54" s="32">
        <f t="shared" si="70"/>
        <v>1.2996157641891632</v>
      </c>
      <c r="CV54" s="3">
        <v>4230863</v>
      </c>
    </row>
    <row r="55" spans="1:102" s="26" customFormat="1" ht="16.5" customHeight="1" x14ac:dyDescent="0.3">
      <c r="A55" s="29"/>
      <c r="B55" s="30" t="s">
        <v>51</v>
      </c>
      <c r="D55" s="3">
        <v>953465</v>
      </c>
      <c r="E55" s="3">
        <v>974263</v>
      </c>
      <c r="F55" s="3">
        <f t="shared" si="49"/>
        <v>20798</v>
      </c>
      <c r="G55" s="32">
        <f t="shared" si="50"/>
        <v>1.0218130712716251</v>
      </c>
      <c r="I55" s="3">
        <v>960789</v>
      </c>
      <c r="J55" s="218"/>
      <c r="K55" s="33">
        <v>559254</v>
      </c>
      <c r="L55" s="222">
        <v>566847</v>
      </c>
      <c r="M55" s="3">
        <f t="shared" si="46"/>
        <v>7593</v>
      </c>
      <c r="N55" s="32">
        <f t="shared" si="2"/>
        <v>1.0135770150951089</v>
      </c>
      <c r="P55" s="3">
        <v>528016</v>
      </c>
      <c r="R55" s="3">
        <v>1318241</v>
      </c>
      <c r="S55" s="223">
        <v>566257</v>
      </c>
      <c r="T55" s="3">
        <f t="shared" si="51"/>
        <v>-751984</v>
      </c>
      <c r="U55" s="32">
        <f t="shared" si="52"/>
        <v>0.4295549903242275</v>
      </c>
      <c r="W55" s="3">
        <v>1285828</v>
      </c>
      <c r="Y55" s="3">
        <v>1475926</v>
      </c>
      <c r="Z55" s="223">
        <v>1564843</v>
      </c>
      <c r="AA55" s="3">
        <f t="shared" si="53"/>
        <v>88917</v>
      </c>
      <c r="AB55" s="32">
        <f t="shared" si="54"/>
        <v>1.0602448903264798</v>
      </c>
      <c r="AD55" s="3">
        <v>1450992</v>
      </c>
      <c r="AF55" s="3">
        <v>559254</v>
      </c>
      <c r="AG55" s="3">
        <v>566257</v>
      </c>
      <c r="AH55" s="3">
        <f t="shared" si="71"/>
        <v>7003</v>
      </c>
      <c r="AI55" s="32">
        <f t="shared" si="72"/>
        <v>1.0125220382867177</v>
      </c>
      <c r="AK55" s="3">
        <v>528016</v>
      </c>
      <c r="AM55" s="3">
        <v>559254</v>
      </c>
      <c r="AN55" s="3">
        <v>0</v>
      </c>
      <c r="AO55" s="3">
        <f t="shared" si="55"/>
        <v>-559254</v>
      </c>
      <c r="AP55" s="32">
        <f t="shared" si="56"/>
        <v>0</v>
      </c>
      <c r="AR55" s="3">
        <v>528016</v>
      </c>
      <c r="AT55" s="3">
        <v>1506411</v>
      </c>
      <c r="AU55" s="3">
        <v>2185440</v>
      </c>
      <c r="AV55" s="3">
        <f t="shared" si="57"/>
        <v>679029</v>
      </c>
      <c r="AW55" s="32">
        <f t="shared" si="58"/>
        <v>1.4507594540932056</v>
      </c>
      <c r="AY55" s="3">
        <v>1481591</v>
      </c>
      <c r="BA55" s="3">
        <v>560305</v>
      </c>
      <c r="BB55" s="222">
        <v>583718</v>
      </c>
      <c r="BC55" s="222">
        <f t="shared" si="59"/>
        <v>23413</v>
      </c>
      <c r="BD55" s="32">
        <f t="shared" si="60"/>
        <v>1.0417861700323932</v>
      </c>
      <c r="BF55" s="3">
        <v>564244</v>
      </c>
      <c r="BH55" s="3">
        <v>560305</v>
      </c>
      <c r="BI55" s="3">
        <v>560305</v>
      </c>
      <c r="BJ55" s="222">
        <f t="shared" si="61"/>
        <v>0</v>
      </c>
      <c r="BK55" s="32">
        <f t="shared" si="62"/>
        <v>1</v>
      </c>
      <c r="BM55" s="3">
        <v>564244</v>
      </c>
      <c r="BO55" s="3">
        <v>1339266</v>
      </c>
      <c r="BP55" s="3">
        <v>1712174</v>
      </c>
      <c r="BQ55" s="3">
        <f t="shared" si="63"/>
        <v>372908</v>
      </c>
      <c r="BR55" s="32">
        <f t="shared" si="64"/>
        <v>1.2784420720006331</v>
      </c>
      <c r="BT55" s="3">
        <v>1349995</v>
      </c>
      <c r="BV55" s="3">
        <v>560305</v>
      </c>
      <c r="BW55" s="34">
        <v>566257</v>
      </c>
      <c r="BX55" s="3">
        <f t="shared" si="65"/>
        <v>5952</v>
      </c>
      <c r="BY55" s="32">
        <f t="shared" si="66"/>
        <v>1.0106227858041603</v>
      </c>
      <c r="CA55" s="3">
        <v>564244</v>
      </c>
      <c r="CC55" s="3">
        <v>560306</v>
      </c>
      <c r="CD55" s="3">
        <v>568060</v>
      </c>
      <c r="CE55" s="9">
        <f t="shared" si="48"/>
        <v>7754</v>
      </c>
      <c r="CF55" s="32">
        <f t="shared" si="67"/>
        <v>1.0138388666193117</v>
      </c>
      <c r="CH55" s="3">
        <v>564244</v>
      </c>
      <c r="CJ55" s="225">
        <f t="shared" si="27"/>
        <v>9951986</v>
      </c>
      <c r="CK55" s="3">
        <f t="shared" si="27"/>
        <v>9846361</v>
      </c>
      <c r="CL55" s="3">
        <f t="shared" si="23"/>
        <v>-105625</v>
      </c>
      <c r="CM55" s="32">
        <f t="shared" si="68"/>
        <v>0.98938654053572828</v>
      </c>
      <c r="CO55" s="3">
        <f t="shared" si="29"/>
        <v>9805975</v>
      </c>
      <c r="CQ55" s="225">
        <f t="shared" si="47"/>
        <v>10512292</v>
      </c>
      <c r="CR55" s="3">
        <f t="shared" si="47"/>
        <v>10414421</v>
      </c>
      <c r="CS55" s="3">
        <f t="shared" si="69"/>
        <v>-105625</v>
      </c>
      <c r="CT55" s="32">
        <f t="shared" si="70"/>
        <v>0.99068985146150812</v>
      </c>
      <c r="CV55" s="3">
        <v>10370219</v>
      </c>
    </row>
    <row r="56" spans="1:102" s="26" customFormat="1" ht="16.5" customHeight="1" x14ac:dyDescent="0.3">
      <c r="A56" s="29"/>
      <c r="B56" s="30" t="s">
        <v>52</v>
      </c>
      <c r="D56" s="3">
        <v>1007968</v>
      </c>
      <c r="E56" s="3">
        <v>1101126</v>
      </c>
      <c r="F56" s="3">
        <f t="shared" si="49"/>
        <v>93158</v>
      </c>
      <c r="G56" s="32">
        <f t="shared" si="50"/>
        <v>1.0924215848122163</v>
      </c>
      <c r="I56" s="3">
        <v>1052500</v>
      </c>
      <c r="J56" s="218"/>
      <c r="K56" s="33">
        <v>1023831</v>
      </c>
      <c r="L56" s="222">
        <v>1080390</v>
      </c>
      <c r="M56" s="3">
        <f t="shared" si="46"/>
        <v>56559</v>
      </c>
      <c r="N56" s="32">
        <f t="shared" si="2"/>
        <v>1.0552425156104865</v>
      </c>
      <c r="P56" s="3">
        <v>1068771</v>
      </c>
      <c r="R56" s="3">
        <v>1009188</v>
      </c>
      <c r="S56" s="223">
        <v>1056696</v>
      </c>
      <c r="T56" s="3">
        <f t="shared" si="51"/>
        <v>47508</v>
      </c>
      <c r="U56" s="32">
        <f t="shared" si="52"/>
        <v>1.0470754705763445</v>
      </c>
      <c r="W56" s="3">
        <v>1053716</v>
      </c>
      <c r="Y56" s="3">
        <v>921326</v>
      </c>
      <c r="Z56" s="223">
        <v>890458</v>
      </c>
      <c r="AA56" s="3">
        <f t="shared" si="53"/>
        <v>-30868</v>
      </c>
      <c r="AB56" s="32">
        <f t="shared" si="54"/>
        <v>0.96649611538152624</v>
      </c>
      <c r="AD56" s="3">
        <v>962039</v>
      </c>
      <c r="AF56" s="3">
        <v>1064101</v>
      </c>
      <c r="AG56" s="3">
        <v>1042505</v>
      </c>
      <c r="AH56" s="3">
        <f t="shared" si="71"/>
        <v>-21596</v>
      </c>
      <c r="AI56" s="32">
        <f t="shared" si="72"/>
        <v>0.97970493402411984</v>
      </c>
      <c r="AK56" s="3">
        <v>1111250</v>
      </c>
      <c r="AM56" s="3">
        <v>946953</v>
      </c>
      <c r="AN56" s="222">
        <v>1039411</v>
      </c>
      <c r="AO56" s="3">
        <f t="shared" si="55"/>
        <v>92458</v>
      </c>
      <c r="AP56" s="32">
        <f t="shared" si="56"/>
        <v>1.0976373695420998</v>
      </c>
      <c r="AR56" s="3">
        <v>989367</v>
      </c>
      <c r="AT56" s="3">
        <v>1086067</v>
      </c>
      <c r="AU56" s="3">
        <v>1056711</v>
      </c>
      <c r="AV56" s="3">
        <f t="shared" si="57"/>
        <v>-29356</v>
      </c>
      <c r="AW56" s="32">
        <f t="shared" si="58"/>
        <v>0.97297036002382908</v>
      </c>
      <c r="AY56" s="3">
        <v>1133910</v>
      </c>
      <c r="BA56" s="3">
        <v>1038475</v>
      </c>
      <c r="BB56" s="222">
        <v>974363</v>
      </c>
      <c r="BC56" s="222">
        <f t="shared" si="59"/>
        <v>-64112</v>
      </c>
      <c r="BD56" s="32">
        <f t="shared" si="60"/>
        <v>0.93826331880883029</v>
      </c>
      <c r="BF56" s="3">
        <v>1084862</v>
      </c>
      <c r="BH56" s="3">
        <v>1012849</v>
      </c>
      <c r="BI56" s="222">
        <v>932927</v>
      </c>
      <c r="BJ56" s="222">
        <f t="shared" si="61"/>
        <v>-79922</v>
      </c>
      <c r="BK56" s="32">
        <f t="shared" si="62"/>
        <v>0.92109189030151584</v>
      </c>
      <c r="BM56" s="3">
        <v>1057949</v>
      </c>
      <c r="BO56" s="3">
        <v>1037255</v>
      </c>
      <c r="BP56" s="3">
        <v>935690</v>
      </c>
      <c r="BQ56" s="3">
        <f t="shared" si="63"/>
        <v>-101565</v>
      </c>
      <c r="BR56" s="32">
        <f t="shared" si="64"/>
        <v>0.9020829015044517</v>
      </c>
      <c r="BT56" s="3">
        <v>1082983</v>
      </c>
      <c r="BV56" s="3">
        <v>1006747</v>
      </c>
      <c r="BW56" s="34">
        <v>911599</v>
      </c>
      <c r="BX56" s="3">
        <f t="shared" si="65"/>
        <v>-95148</v>
      </c>
      <c r="BY56" s="32">
        <f t="shared" si="66"/>
        <v>0.90548966125550912</v>
      </c>
      <c r="CA56" s="3">
        <v>1052143</v>
      </c>
      <c r="CC56" s="3">
        <v>1048237</v>
      </c>
      <c r="CD56" s="3">
        <v>946571</v>
      </c>
      <c r="CE56" s="9">
        <f t="shared" si="48"/>
        <v>-101666</v>
      </c>
      <c r="CF56" s="32">
        <f t="shared" si="67"/>
        <v>0.9030123912817426</v>
      </c>
      <c r="CH56" s="3">
        <v>1094862</v>
      </c>
      <c r="CJ56" s="225">
        <f t="shared" si="27"/>
        <v>11154760</v>
      </c>
      <c r="CK56" s="3">
        <f t="shared" si="27"/>
        <v>11021876</v>
      </c>
      <c r="CL56" s="3">
        <f t="shared" si="23"/>
        <v>-132884</v>
      </c>
      <c r="CM56" s="32">
        <f t="shared" si="68"/>
        <v>0.988087238093872</v>
      </c>
      <c r="CO56" s="3">
        <f t="shared" si="29"/>
        <v>11649490</v>
      </c>
      <c r="CQ56" s="225">
        <f t="shared" si="47"/>
        <v>12202997</v>
      </c>
      <c r="CR56" s="3">
        <f t="shared" si="47"/>
        <v>11968447</v>
      </c>
      <c r="CS56" s="3">
        <f t="shared" si="69"/>
        <v>-132884</v>
      </c>
      <c r="CT56" s="32">
        <f t="shared" si="70"/>
        <v>0.98077931183626443</v>
      </c>
      <c r="CV56" s="3">
        <v>12744352</v>
      </c>
    </row>
    <row r="57" spans="1:102" s="26" customFormat="1" ht="16.5" customHeight="1" x14ac:dyDescent="0.3">
      <c r="A57" s="29"/>
      <c r="B57" s="30" t="s">
        <v>53</v>
      </c>
      <c r="D57" s="3">
        <v>0</v>
      </c>
      <c r="E57" s="3">
        <v>25</v>
      </c>
      <c r="F57" s="3">
        <f t="shared" si="49"/>
        <v>25</v>
      </c>
      <c r="G57" s="32">
        <f t="shared" si="50"/>
        <v>0</v>
      </c>
      <c r="I57" s="3">
        <v>934</v>
      </c>
      <c r="J57" s="218"/>
      <c r="K57" s="33">
        <v>0</v>
      </c>
      <c r="L57" s="222">
        <v>186</v>
      </c>
      <c r="M57" s="3">
        <f t="shared" si="46"/>
        <v>186</v>
      </c>
      <c r="N57" s="32">
        <f t="shared" si="2"/>
        <v>0</v>
      </c>
      <c r="P57" s="3">
        <v>1194</v>
      </c>
      <c r="R57" s="3">
        <v>0</v>
      </c>
      <c r="S57" s="223">
        <v>60</v>
      </c>
      <c r="T57" s="3">
        <f t="shared" si="51"/>
        <v>60</v>
      </c>
      <c r="U57" s="32">
        <f t="shared" si="52"/>
        <v>0</v>
      </c>
      <c r="W57" s="3">
        <v>310</v>
      </c>
      <c r="Y57" s="3">
        <v>0</v>
      </c>
      <c r="Z57" s="223">
        <v>1444</v>
      </c>
      <c r="AA57" s="3">
        <f t="shared" si="53"/>
        <v>1444</v>
      </c>
      <c r="AB57" s="32">
        <f t="shared" si="54"/>
        <v>0</v>
      </c>
      <c r="AD57" s="3">
        <v>2474</v>
      </c>
      <c r="AF57" s="3">
        <v>0</v>
      </c>
      <c r="AG57" s="3">
        <v>775</v>
      </c>
      <c r="AH57" s="3">
        <f t="shared" si="71"/>
        <v>775</v>
      </c>
      <c r="AI57" s="32">
        <f t="shared" si="72"/>
        <v>0</v>
      </c>
      <c r="AK57" s="3">
        <v>356</v>
      </c>
      <c r="AM57" s="3">
        <v>0</v>
      </c>
      <c r="AN57" s="222">
        <v>488</v>
      </c>
      <c r="AO57" s="3">
        <f t="shared" si="55"/>
        <v>488</v>
      </c>
      <c r="AP57" s="32">
        <f t="shared" si="56"/>
        <v>0</v>
      </c>
      <c r="AR57" s="3">
        <v>1190</v>
      </c>
      <c r="AT57" s="3">
        <v>0</v>
      </c>
      <c r="AU57" s="3">
        <v>2006</v>
      </c>
      <c r="AV57" s="3">
        <f t="shared" si="57"/>
        <v>2006</v>
      </c>
      <c r="AW57" s="32">
        <f t="shared" si="58"/>
        <v>0</v>
      </c>
      <c r="AY57" s="3">
        <v>4118</v>
      </c>
      <c r="BA57" s="3">
        <v>0</v>
      </c>
      <c r="BB57" s="222">
        <v>12</v>
      </c>
      <c r="BC57" s="222">
        <f t="shared" si="59"/>
        <v>12</v>
      </c>
      <c r="BD57" s="32">
        <f t="shared" si="60"/>
        <v>0</v>
      </c>
      <c r="BF57" s="3">
        <v>284</v>
      </c>
      <c r="BH57" s="3">
        <v>0</v>
      </c>
      <c r="BI57" s="3">
        <v>0</v>
      </c>
      <c r="BJ57" s="222">
        <f t="shared" si="61"/>
        <v>0</v>
      </c>
      <c r="BK57" s="32">
        <f t="shared" si="62"/>
        <v>0</v>
      </c>
      <c r="BM57" s="3">
        <v>148</v>
      </c>
      <c r="BO57" s="3">
        <v>0</v>
      </c>
      <c r="BP57" s="3">
        <v>370</v>
      </c>
      <c r="BQ57" s="3">
        <f t="shared" si="63"/>
        <v>370</v>
      </c>
      <c r="BR57" s="32">
        <f t="shared" si="64"/>
        <v>0</v>
      </c>
      <c r="BT57" s="3">
        <v>688</v>
      </c>
      <c r="BV57" s="3">
        <v>0</v>
      </c>
      <c r="BW57" s="34">
        <v>217</v>
      </c>
      <c r="BX57" s="3">
        <f t="shared" si="65"/>
        <v>217</v>
      </c>
      <c r="BY57" s="32">
        <f>IFERROR(BW57/BV58,0)</f>
        <v>6.4462657703287594E-4</v>
      </c>
      <c r="CA57" s="3">
        <v>1102</v>
      </c>
      <c r="CC57" s="3">
        <v>0</v>
      </c>
      <c r="CD57" s="3">
        <v>30</v>
      </c>
      <c r="CE57" s="9">
        <f t="shared" si="48"/>
        <v>30</v>
      </c>
      <c r="CF57" s="32">
        <f t="shared" si="67"/>
        <v>0</v>
      </c>
      <c r="CH57" s="3">
        <v>597</v>
      </c>
      <c r="CJ57" s="225">
        <f t="shared" si="27"/>
        <v>0</v>
      </c>
      <c r="CK57" s="3">
        <f t="shared" si="27"/>
        <v>5583</v>
      </c>
      <c r="CL57" s="3">
        <f t="shared" si="23"/>
        <v>5583</v>
      </c>
      <c r="CM57" s="32">
        <f t="shared" si="68"/>
        <v>0</v>
      </c>
      <c r="CO57" s="3">
        <f t="shared" si="29"/>
        <v>12798</v>
      </c>
      <c r="CQ57" s="225">
        <f t="shared" si="47"/>
        <v>0</v>
      </c>
      <c r="CR57" s="3">
        <f t="shared" si="47"/>
        <v>5613</v>
      </c>
      <c r="CS57" s="3">
        <f t="shared" si="69"/>
        <v>5583</v>
      </c>
      <c r="CT57" s="32">
        <f t="shared" si="70"/>
        <v>0</v>
      </c>
      <c r="CV57" s="3">
        <v>13395</v>
      </c>
    </row>
    <row r="58" spans="1:102" s="26" customFormat="1" ht="16.5" customHeight="1" x14ac:dyDescent="0.3">
      <c r="A58" s="29"/>
      <c r="B58" s="30" t="s">
        <v>54</v>
      </c>
      <c r="D58" s="3">
        <v>349670</v>
      </c>
      <c r="E58" s="3">
        <v>551453</v>
      </c>
      <c r="F58" s="3">
        <f t="shared" si="49"/>
        <v>201783</v>
      </c>
      <c r="G58" s="32">
        <f t="shared" si="50"/>
        <v>1.5770669488374753</v>
      </c>
      <c r="I58" s="3">
        <v>459451</v>
      </c>
      <c r="J58" s="218"/>
      <c r="K58" s="33">
        <v>436477</v>
      </c>
      <c r="L58" s="255">
        <v>636211</v>
      </c>
      <c r="M58" s="3">
        <f t="shared" si="46"/>
        <v>199734</v>
      </c>
      <c r="N58" s="32">
        <f t="shared" si="2"/>
        <v>1.4576048680686498</v>
      </c>
      <c r="P58" s="3">
        <v>573199</v>
      </c>
      <c r="R58" s="3">
        <v>284464</v>
      </c>
      <c r="S58" s="223">
        <v>468871</v>
      </c>
      <c r="T58" s="3">
        <f t="shared" si="51"/>
        <v>184407</v>
      </c>
      <c r="U58" s="32">
        <f t="shared" si="52"/>
        <v>1.6482612914112156</v>
      </c>
      <c r="W58" s="3">
        <v>373563</v>
      </c>
      <c r="Y58" s="3">
        <v>314622</v>
      </c>
      <c r="Z58" s="223">
        <v>416284</v>
      </c>
      <c r="AA58" s="3">
        <f t="shared" si="53"/>
        <v>101662</v>
      </c>
      <c r="AB58" s="32">
        <f t="shared" si="54"/>
        <v>1.3231242570449619</v>
      </c>
      <c r="AD58" s="3">
        <v>413173</v>
      </c>
      <c r="AF58" s="3">
        <v>307694</v>
      </c>
      <c r="AG58" s="3">
        <v>460991</v>
      </c>
      <c r="AH58" s="3">
        <f t="shared" si="71"/>
        <v>153297</v>
      </c>
      <c r="AI58" s="32">
        <f t="shared" si="72"/>
        <v>1.498212509831196</v>
      </c>
      <c r="AK58" s="3">
        <v>404224</v>
      </c>
      <c r="AM58" s="3">
        <v>306471</v>
      </c>
      <c r="AN58" s="222">
        <v>401206</v>
      </c>
      <c r="AO58" s="3">
        <f t="shared" si="55"/>
        <v>94735</v>
      </c>
      <c r="AP58" s="32">
        <f t="shared" si="56"/>
        <v>1.3091157075220821</v>
      </c>
      <c r="AR58" s="3">
        <v>402730</v>
      </c>
      <c r="AT58" s="3">
        <v>334591</v>
      </c>
      <c r="AU58" s="3">
        <v>433711</v>
      </c>
      <c r="AV58" s="3">
        <f t="shared" si="57"/>
        <v>99120</v>
      </c>
      <c r="AW58" s="32">
        <f t="shared" si="58"/>
        <v>1.2962422778855378</v>
      </c>
      <c r="AY58" s="3">
        <v>439823</v>
      </c>
      <c r="BA58" s="3">
        <v>336221</v>
      </c>
      <c r="BB58" s="222">
        <v>418989</v>
      </c>
      <c r="BC58" s="222">
        <f t="shared" si="59"/>
        <v>82768</v>
      </c>
      <c r="BD58" s="32">
        <f t="shared" si="60"/>
        <v>1.2461714170144043</v>
      </c>
      <c r="BF58" s="3">
        <v>441996</v>
      </c>
      <c r="BH58" s="3">
        <v>347633</v>
      </c>
      <c r="BI58" s="3">
        <v>347633</v>
      </c>
      <c r="BJ58" s="222">
        <f t="shared" si="61"/>
        <v>0</v>
      </c>
      <c r="BK58" s="32">
        <f t="shared" si="62"/>
        <v>1</v>
      </c>
      <c r="BM58" s="3">
        <v>456975</v>
      </c>
      <c r="BO58" s="3">
        <v>341112</v>
      </c>
      <c r="BP58" s="3">
        <v>598721</v>
      </c>
      <c r="BQ58" s="3">
        <f t="shared" si="63"/>
        <v>257609</v>
      </c>
      <c r="BR58" s="32">
        <f t="shared" si="64"/>
        <v>1.7552035695020991</v>
      </c>
      <c r="BT58" s="3">
        <v>448309</v>
      </c>
      <c r="BV58" s="3">
        <v>336629</v>
      </c>
      <c r="BW58" s="34">
        <v>444336</v>
      </c>
      <c r="BX58" s="3">
        <f t="shared" si="65"/>
        <v>107707</v>
      </c>
      <c r="BY58" s="32">
        <f>IFERROR(BW58/BV59,0)</f>
        <v>13.079862235436106</v>
      </c>
      <c r="CA58" s="3">
        <v>442539</v>
      </c>
      <c r="CC58" s="3">
        <v>379827</v>
      </c>
      <c r="CD58" s="3">
        <v>536837</v>
      </c>
      <c r="CE58" s="9">
        <f t="shared" si="48"/>
        <v>157010</v>
      </c>
      <c r="CF58" s="32">
        <f t="shared" si="67"/>
        <v>1.4133724037522346</v>
      </c>
      <c r="CH58" s="3">
        <v>498776</v>
      </c>
      <c r="CJ58" s="225">
        <f t="shared" si="27"/>
        <v>3695584</v>
      </c>
      <c r="CK58" s="3">
        <f t="shared" si="27"/>
        <v>5178406</v>
      </c>
      <c r="CL58" s="3">
        <f t="shared" si="23"/>
        <v>1482822</v>
      </c>
      <c r="CM58" s="32">
        <f t="shared" si="68"/>
        <v>1.4012415899625066</v>
      </c>
      <c r="CO58" s="3">
        <f t="shared" si="29"/>
        <v>4855982</v>
      </c>
      <c r="CQ58" s="225">
        <f t="shared" si="47"/>
        <v>4075411</v>
      </c>
      <c r="CR58" s="3">
        <f t="shared" si="47"/>
        <v>5715243</v>
      </c>
      <c r="CS58" s="3">
        <f t="shared" si="69"/>
        <v>1482822</v>
      </c>
      <c r="CT58" s="32">
        <f t="shared" si="70"/>
        <v>1.4023721779226683</v>
      </c>
      <c r="CV58" s="3">
        <v>5354758</v>
      </c>
    </row>
    <row r="59" spans="1:102" s="26" customFormat="1" ht="16.5" customHeight="1" x14ac:dyDescent="0.3">
      <c r="A59" s="29"/>
      <c r="B59" s="264" t="s">
        <v>55</v>
      </c>
      <c r="D59" s="3">
        <v>38503</v>
      </c>
      <c r="E59" s="3">
        <v>41228</v>
      </c>
      <c r="F59" s="3">
        <f t="shared" si="49"/>
        <v>2725</v>
      </c>
      <c r="G59" s="32">
        <f t="shared" si="50"/>
        <v>1.0707737059449913</v>
      </c>
      <c r="I59" s="3">
        <v>34329</v>
      </c>
      <c r="J59" s="218"/>
      <c r="K59" s="33">
        <v>69382</v>
      </c>
      <c r="L59" s="222">
        <v>59261</v>
      </c>
      <c r="M59" s="3">
        <f t="shared" si="46"/>
        <v>-10121</v>
      </c>
      <c r="N59" s="32">
        <f t="shared" si="2"/>
        <v>0.85412643048629322</v>
      </c>
      <c r="P59" s="3">
        <v>61808</v>
      </c>
      <c r="R59" s="3">
        <v>27490</v>
      </c>
      <c r="S59" s="223">
        <v>26274</v>
      </c>
      <c r="T59" s="3">
        <f t="shared" si="51"/>
        <v>-1216</v>
      </c>
      <c r="U59" s="32">
        <f t="shared" si="52"/>
        <v>0.95576573299381595</v>
      </c>
      <c r="W59" s="3">
        <v>24481</v>
      </c>
      <c r="Y59" s="3">
        <v>27194</v>
      </c>
      <c r="Z59" s="223">
        <v>59261</v>
      </c>
      <c r="AA59" s="3">
        <f t="shared" si="53"/>
        <v>32067</v>
      </c>
      <c r="AB59" s="32">
        <f t="shared" si="54"/>
        <v>2.1791939398396707</v>
      </c>
      <c r="AD59" s="3">
        <v>24225</v>
      </c>
      <c r="AF59" s="3">
        <v>29524</v>
      </c>
      <c r="AG59" s="3">
        <v>0</v>
      </c>
      <c r="AH59" s="3">
        <f t="shared" si="71"/>
        <v>-29524</v>
      </c>
      <c r="AI59" s="32">
        <f t="shared" si="72"/>
        <v>0</v>
      </c>
      <c r="AK59" s="3">
        <v>26292</v>
      </c>
      <c r="AM59" s="3">
        <v>30244</v>
      </c>
      <c r="AN59" s="222">
        <v>24169</v>
      </c>
      <c r="AO59" s="3">
        <f t="shared" si="55"/>
        <v>-6075</v>
      </c>
      <c r="AP59" s="32">
        <f t="shared" si="56"/>
        <v>0.79913371247189524</v>
      </c>
      <c r="AR59" s="3">
        <v>26936</v>
      </c>
      <c r="AT59" s="3">
        <v>29778</v>
      </c>
      <c r="AU59" s="3">
        <v>29493</v>
      </c>
      <c r="AV59" s="3">
        <f t="shared" si="57"/>
        <v>-285</v>
      </c>
      <c r="AW59" s="32">
        <f t="shared" si="58"/>
        <v>0.99042917590167234</v>
      </c>
      <c r="AY59" s="3">
        <v>26530</v>
      </c>
      <c r="BA59" s="3">
        <v>43544</v>
      </c>
      <c r="BB59" s="222">
        <v>39860</v>
      </c>
      <c r="BC59" s="222">
        <f t="shared" si="59"/>
        <v>-3684</v>
      </c>
      <c r="BD59" s="32">
        <f t="shared" si="60"/>
        <v>0.91539592136689329</v>
      </c>
      <c r="BF59" s="3">
        <v>38802</v>
      </c>
      <c r="BH59" s="3">
        <v>31938</v>
      </c>
      <c r="BI59" s="3">
        <v>31938</v>
      </c>
      <c r="BJ59" s="222">
        <f t="shared" si="61"/>
        <v>0</v>
      </c>
      <c r="BK59" s="32">
        <f t="shared" si="62"/>
        <v>1</v>
      </c>
      <c r="BM59" s="3">
        <v>28461</v>
      </c>
      <c r="BO59" s="3">
        <v>35157</v>
      </c>
      <c r="BP59" s="3">
        <v>41931</v>
      </c>
      <c r="BQ59" s="3">
        <f t="shared" si="63"/>
        <v>6774</v>
      </c>
      <c r="BR59" s="32">
        <f t="shared" si="64"/>
        <v>1.1926785561908013</v>
      </c>
      <c r="BT59" s="3">
        <v>31310</v>
      </c>
      <c r="BV59" s="3">
        <v>33971</v>
      </c>
      <c r="BW59" s="34">
        <v>31682</v>
      </c>
      <c r="BX59" s="3">
        <f t="shared" si="65"/>
        <v>-2289</v>
      </c>
      <c r="BY59" s="32">
        <f>IFERROR(BW59/#REF!,0)</f>
        <v>0</v>
      </c>
      <c r="CA59" s="3">
        <v>30248</v>
      </c>
      <c r="CC59" s="3">
        <v>26855</v>
      </c>
      <c r="CD59" s="3">
        <v>29504</v>
      </c>
      <c r="CE59" s="9">
        <f t="shared" si="48"/>
        <v>2649</v>
      </c>
      <c r="CF59" s="32">
        <f t="shared" si="67"/>
        <v>1.0986408490039099</v>
      </c>
      <c r="CH59" s="3">
        <v>23946</v>
      </c>
      <c r="CJ59" s="225">
        <f t="shared" si="27"/>
        <v>396725</v>
      </c>
      <c r="CK59" s="3">
        <f t="shared" si="27"/>
        <v>385097</v>
      </c>
      <c r="CL59" s="3">
        <f t="shared" si="23"/>
        <v>-11628</v>
      </c>
      <c r="CM59" s="32">
        <f t="shared" si="68"/>
        <v>0.97069002457621778</v>
      </c>
      <c r="CO59" s="3">
        <f t="shared" si="29"/>
        <v>353422</v>
      </c>
      <c r="CQ59" s="225">
        <f t="shared" si="47"/>
        <v>423580</v>
      </c>
      <c r="CR59" s="3">
        <f t="shared" si="47"/>
        <v>414601</v>
      </c>
      <c r="CS59" s="3">
        <f t="shared" si="69"/>
        <v>-11628</v>
      </c>
      <c r="CT59" s="32">
        <f t="shared" si="70"/>
        <v>0.9788021153028944</v>
      </c>
      <c r="CV59" s="3">
        <v>377368</v>
      </c>
    </row>
    <row r="60" spans="1:102" s="26" customFormat="1" ht="16.5" customHeight="1" x14ac:dyDescent="0.3">
      <c r="A60" s="29"/>
      <c r="B60" s="30" t="s">
        <v>56</v>
      </c>
      <c r="D60" s="3">
        <v>0</v>
      </c>
      <c r="E60" s="3">
        <v>0</v>
      </c>
      <c r="F60" s="3">
        <f t="shared" si="49"/>
        <v>0</v>
      </c>
      <c r="G60" s="32">
        <f t="shared" si="50"/>
        <v>0</v>
      </c>
      <c r="I60" s="3">
        <v>0</v>
      </c>
      <c r="J60" s="218"/>
      <c r="K60" s="33">
        <v>0</v>
      </c>
      <c r="L60" s="222">
        <v>0</v>
      </c>
      <c r="M60" s="3">
        <f t="shared" si="46"/>
        <v>0</v>
      </c>
      <c r="N60" s="32">
        <f t="shared" si="2"/>
        <v>0</v>
      </c>
      <c r="P60" s="3">
        <v>0</v>
      </c>
      <c r="R60" s="3">
        <v>0</v>
      </c>
      <c r="S60" s="3">
        <v>0</v>
      </c>
      <c r="T60" s="3">
        <f t="shared" si="51"/>
        <v>0</v>
      </c>
      <c r="U60" s="32">
        <f t="shared" si="52"/>
        <v>0</v>
      </c>
      <c r="W60" s="3">
        <v>0</v>
      </c>
      <c r="Y60" s="3">
        <v>0</v>
      </c>
      <c r="Z60" s="3">
        <v>0</v>
      </c>
      <c r="AA60" s="3">
        <f t="shared" si="53"/>
        <v>0</v>
      </c>
      <c r="AB60" s="32">
        <f t="shared" si="54"/>
        <v>0</v>
      </c>
      <c r="AD60" s="3">
        <v>0</v>
      </c>
      <c r="AF60" s="3">
        <v>0</v>
      </c>
      <c r="AG60" s="3">
        <v>0</v>
      </c>
      <c r="AH60" s="3">
        <f t="shared" si="71"/>
        <v>0</v>
      </c>
      <c r="AI60" s="32">
        <f t="shared" si="72"/>
        <v>0</v>
      </c>
      <c r="AK60" s="3">
        <v>0</v>
      </c>
      <c r="AM60" s="3">
        <v>0</v>
      </c>
      <c r="AN60" s="3">
        <v>0</v>
      </c>
      <c r="AO60" s="3">
        <f t="shared" si="55"/>
        <v>0</v>
      </c>
      <c r="AP60" s="32">
        <f t="shared" si="56"/>
        <v>0</v>
      </c>
      <c r="AR60" s="3">
        <v>0</v>
      </c>
      <c r="AT60" s="3">
        <v>0</v>
      </c>
      <c r="AU60" s="3">
        <v>0</v>
      </c>
      <c r="AV60" s="3">
        <f t="shared" si="57"/>
        <v>0</v>
      </c>
      <c r="AW60" s="32">
        <f t="shared" si="58"/>
        <v>0</v>
      </c>
      <c r="AY60" s="3">
        <v>0</v>
      </c>
      <c r="BA60" s="3">
        <v>0</v>
      </c>
      <c r="BB60" s="3">
        <v>0</v>
      </c>
      <c r="BC60" s="3">
        <f t="shared" si="59"/>
        <v>0</v>
      </c>
      <c r="BD60" s="32">
        <f t="shared" si="60"/>
        <v>0</v>
      </c>
      <c r="BF60" s="3"/>
      <c r="BH60" s="3">
        <v>0</v>
      </c>
      <c r="BI60" s="3">
        <v>0</v>
      </c>
      <c r="BJ60" s="222">
        <f t="shared" si="61"/>
        <v>0</v>
      </c>
      <c r="BK60" s="32">
        <f t="shared" si="62"/>
        <v>0</v>
      </c>
      <c r="BM60" s="3">
        <v>0</v>
      </c>
      <c r="BO60" s="3">
        <v>0</v>
      </c>
      <c r="BP60" s="3">
        <v>0</v>
      </c>
      <c r="BQ60" s="3">
        <f t="shared" si="63"/>
        <v>0</v>
      </c>
      <c r="BR60" s="32">
        <f t="shared" si="64"/>
        <v>0</v>
      </c>
      <c r="BT60" s="3">
        <v>0</v>
      </c>
      <c r="BV60" s="3">
        <v>0</v>
      </c>
      <c r="BW60" s="34">
        <v>0</v>
      </c>
      <c r="BX60" s="3">
        <f t="shared" si="65"/>
        <v>0</v>
      </c>
      <c r="BY60" s="32">
        <f>IFERROR(BW60/#REF!,0)</f>
        <v>0</v>
      </c>
      <c r="CA60" s="3">
        <v>0</v>
      </c>
      <c r="CC60" s="3">
        <v>0</v>
      </c>
      <c r="CD60" s="3">
        <v>0</v>
      </c>
      <c r="CE60" s="9">
        <f t="shared" si="48"/>
        <v>0</v>
      </c>
      <c r="CF60" s="32">
        <f t="shared" si="67"/>
        <v>0</v>
      </c>
      <c r="CH60" s="3">
        <v>0</v>
      </c>
      <c r="CJ60" s="225">
        <f t="shared" si="27"/>
        <v>0</v>
      </c>
      <c r="CK60" s="3">
        <f t="shared" si="27"/>
        <v>0</v>
      </c>
      <c r="CL60" s="3">
        <f t="shared" si="23"/>
        <v>0</v>
      </c>
      <c r="CM60" s="32">
        <f t="shared" si="68"/>
        <v>0</v>
      </c>
      <c r="CO60" s="3">
        <f t="shared" si="29"/>
        <v>0</v>
      </c>
      <c r="CQ60" s="225">
        <f t="shared" si="47"/>
        <v>0</v>
      </c>
      <c r="CR60" s="3">
        <f t="shared" si="47"/>
        <v>0</v>
      </c>
      <c r="CS60" s="3">
        <f t="shared" si="69"/>
        <v>0</v>
      </c>
      <c r="CT60" s="32">
        <f t="shared" si="70"/>
        <v>0</v>
      </c>
      <c r="CV60" s="3">
        <v>0</v>
      </c>
    </row>
    <row r="61" spans="1:102" s="31" customFormat="1" ht="16.5" customHeight="1" x14ac:dyDescent="0.3">
      <c r="A61" s="29"/>
      <c r="B61" s="30" t="s">
        <v>57</v>
      </c>
      <c r="D61" s="3">
        <v>3776997</v>
      </c>
      <c r="E61" s="3">
        <v>14895629</v>
      </c>
      <c r="F61" s="3">
        <f t="shared" si="49"/>
        <v>11118632</v>
      </c>
      <c r="G61" s="32">
        <f t="shared" si="50"/>
        <v>3.9437757032902065</v>
      </c>
      <c r="I61" s="3">
        <v>5589814</v>
      </c>
      <c r="J61" s="221"/>
      <c r="K61" s="33">
        <v>6456687</v>
      </c>
      <c r="L61" s="255">
        <v>1998</v>
      </c>
      <c r="M61" s="3">
        <f t="shared" si="46"/>
        <v>-6454689</v>
      </c>
      <c r="N61" s="32">
        <f t="shared" si="2"/>
        <v>3.0944662487123815E-4</v>
      </c>
      <c r="P61" s="3">
        <v>5235067</v>
      </c>
      <c r="R61" s="3">
        <v>3324888</v>
      </c>
      <c r="S61" s="3">
        <v>0</v>
      </c>
      <c r="T61" s="3">
        <f t="shared" si="51"/>
        <v>-3324888</v>
      </c>
      <c r="U61" s="32">
        <f t="shared" si="52"/>
        <v>0</v>
      </c>
      <c r="W61" s="3">
        <v>2320360</v>
      </c>
      <c r="Y61" s="3">
        <v>4111370</v>
      </c>
      <c r="Z61" s="3">
        <v>0</v>
      </c>
      <c r="AA61" s="3">
        <f t="shared" si="53"/>
        <v>-4111370</v>
      </c>
      <c r="AB61" s="32">
        <f t="shared" si="54"/>
        <v>0</v>
      </c>
      <c r="AD61" s="3">
        <v>0</v>
      </c>
      <c r="AF61" s="3">
        <v>3701645</v>
      </c>
      <c r="AG61" s="3">
        <v>3747633</v>
      </c>
      <c r="AH61" s="3">
        <f t="shared" si="71"/>
        <v>45988</v>
      </c>
      <c r="AI61" s="32">
        <f t="shared" si="72"/>
        <v>1.0124236656945764</v>
      </c>
      <c r="AK61" s="3">
        <v>8230545</v>
      </c>
      <c r="AM61" s="3">
        <v>1742505</v>
      </c>
      <c r="AN61" s="222">
        <v>11825816</v>
      </c>
      <c r="AO61" s="3">
        <f t="shared" si="55"/>
        <v>10083311</v>
      </c>
      <c r="AP61" s="32">
        <f t="shared" si="56"/>
        <v>6.7866755045179215</v>
      </c>
      <c r="AR61" s="3">
        <v>1848940</v>
      </c>
      <c r="AT61" s="3">
        <v>2204033</v>
      </c>
      <c r="AU61" s="3">
        <v>13124014</v>
      </c>
      <c r="AV61" s="3">
        <f t="shared" si="57"/>
        <v>10919981</v>
      </c>
      <c r="AW61" s="32">
        <f t="shared" si="58"/>
        <v>5.9545451451951941</v>
      </c>
      <c r="AY61" s="3">
        <v>258016</v>
      </c>
      <c r="BA61" s="3">
        <v>7728245</v>
      </c>
      <c r="BB61" s="222">
        <v>6453682</v>
      </c>
      <c r="BC61" s="222">
        <f t="shared" si="59"/>
        <v>-1274563</v>
      </c>
      <c r="BD61" s="32">
        <f t="shared" si="60"/>
        <v>0.8350773040968551</v>
      </c>
      <c r="BF61" s="3">
        <v>6510369</v>
      </c>
      <c r="BH61" s="3">
        <v>3075286</v>
      </c>
      <c r="BI61" s="3">
        <v>3075286</v>
      </c>
      <c r="BJ61" s="222">
        <f t="shared" si="61"/>
        <v>0</v>
      </c>
      <c r="BK61" s="32">
        <f t="shared" si="62"/>
        <v>1</v>
      </c>
      <c r="BM61" s="3">
        <v>552077</v>
      </c>
      <c r="BO61" s="3">
        <v>4709473</v>
      </c>
      <c r="BP61" s="3">
        <v>-2124261</v>
      </c>
      <c r="BQ61" s="3">
        <f t="shared" si="63"/>
        <v>-6833734</v>
      </c>
      <c r="BR61" s="32">
        <f t="shared" si="64"/>
        <v>-0.45106129709205256</v>
      </c>
      <c r="BT61" s="3">
        <v>3573892</v>
      </c>
      <c r="BV61" s="3">
        <v>3970085</v>
      </c>
      <c r="BW61" s="34">
        <v>6310509</v>
      </c>
      <c r="BX61" s="3">
        <f t="shared" si="65"/>
        <v>2340424</v>
      </c>
      <c r="BY61" s="32">
        <f t="shared" si="66"/>
        <v>1.5895148340652656</v>
      </c>
      <c r="CA61" s="3">
        <v>7308270</v>
      </c>
      <c r="CC61" s="3">
        <v>2293512</v>
      </c>
      <c r="CD61" s="3">
        <v>8433488</v>
      </c>
      <c r="CE61" s="9">
        <f t="shared" si="48"/>
        <v>6139976</v>
      </c>
      <c r="CF61" s="32">
        <f t="shared" si="67"/>
        <v>3.677106551001259</v>
      </c>
      <c r="CH61" s="3">
        <v>6450000</v>
      </c>
      <c r="CJ61" s="225">
        <f t="shared" si="27"/>
        <v>44801214</v>
      </c>
      <c r="CK61" s="3">
        <f t="shared" si="27"/>
        <v>57310306</v>
      </c>
      <c r="CL61" s="3">
        <f t="shared" si="23"/>
        <v>12509092</v>
      </c>
      <c r="CM61" s="32">
        <f t="shared" si="68"/>
        <v>1.2792132373912903</v>
      </c>
      <c r="CO61" s="3">
        <f t="shared" si="29"/>
        <v>41427350</v>
      </c>
      <c r="CQ61" s="225">
        <f t="shared" si="47"/>
        <v>47094726</v>
      </c>
      <c r="CR61" s="3">
        <f t="shared" si="47"/>
        <v>65743794</v>
      </c>
      <c r="CS61" s="3">
        <f t="shared" si="69"/>
        <v>12509092</v>
      </c>
      <c r="CT61" s="32">
        <f t="shared" si="70"/>
        <v>1.3959905828945687</v>
      </c>
      <c r="CV61" s="3">
        <v>47877350</v>
      </c>
    </row>
    <row r="62" spans="1:102" s="31" customFormat="1" x14ac:dyDescent="0.3">
      <c r="A62" s="265"/>
      <c r="B62" s="266" t="s">
        <v>58</v>
      </c>
      <c r="C62" s="267"/>
      <c r="D62" s="268">
        <f>+D52+D53+D54+D55+D56+D57+D58+D59+D60+D61</f>
        <v>23986300</v>
      </c>
      <c r="E62" s="268">
        <f>SUM(E52:E61)</f>
        <v>35391789</v>
      </c>
      <c r="F62" s="268">
        <f>+F52+F53+F54+F55+F56+F57+F58+F59+F60+F61</f>
        <v>11405489</v>
      </c>
      <c r="G62" s="269">
        <f t="shared" si="50"/>
        <v>1.4755001396630576</v>
      </c>
      <c r="H62" s="267"/>
      <c r="I62" s="268">
        <v>25420483</v>
      </c>
      <c r="J62" s="267"/>
      <c r="K62" s="268">
        <f>+K52+K53+K54+K55+K56+K57+K58+K59+K60+K61</f>
        <v>30764828</v>
      </c>
      <c r="L62" s="268">
        <f>+L52+L53+L54+L55+L56+L57+L58+L59+L60+L61</f>
        <v>20360360</v>
      </c>
      <c r="M62" s="268">
        <f>+M52+M53+M54+M55+M56+M57+M58+M59+M60+M61</f>
        <v>-10404468</v>
      </c>
      <c r="N62" s="269">
        <f t="shared" si="2"/>
        <v>0.66180639787747231</v>
      </c>
      <c r="O62" s="267"/>
      <c r="P62" s="268">
        <v>28522865</v>
      </c>
      <c r="Q62" s="267"/>
      <c r="R62" s="268">
        <f>+R52+R53+R54+R55+R56+R57+R58+R59+R60+R61</f>
        <v>24400538</v>
      </c>
      <c r="S62" s="268">
        <f>+S52+S53+S54+S55+S56+S57+S58+S59+S60+S61</f>
        <v>20868119</v>
      </c>
      <c r="T62" s="268">
        <f>+T52+T53+T54+T55+T56+T57+T58+T59+T60+T61</f>
        <v>-3532419</v>
      </c>
      <c r="U62" s="269">
        <f t="shared" si="52"/>
        <v>0.85523192152566474</v>
      </c>
      <c r="V62" s="267"/>
      <c r="W62" s="268">
        <v>22459959</v>
      </c>
      <c r="X62" s="267"/>
      <c r="Y62" s="268">
        <f>+Y52+Y53+Y54+Y55+Y56+Y57+Y58+Y59+Y60+Y61</f>
        <v>26853126</v>
      </c>
      <c r="Z62" s="268">
        <f>+Z52+Z53+Z54+Z55+Z56+Z57+Z58+Z59+Z60+Z61</f>
        <v>26289467</v>
      </c>
      <c r="AA62" s="268">
        <f>+AA52+AA53+AA54+AA55+AA56+AA57+AA58+AA59+AA60+AA61</f>
        <v>-563659</v>
      </c>
      <c r="AB62" s="269">
        <f t="shared" si="54"/>
        <v>0.97900955739752604</v>
      </c>
      <c r="AC62" s="267"/>
      <c r="AD62" s="268">
        <v>21750096</v>
      </c>
      <c r="AE62" s="271"/>
      <c r="AF62" s="268">
        <f>+AF52+AF53+AF54+AF55+AF56+AF57+AF58+AF59+AF60+AF61</f>
        <v>28147254</v>
      </c>
      <c r="AG62" s="268">
        <f>+AG52+AG53+AG54+AG55+AG56+AG57+AG58+AG59+AG60+AG61</f>
        <v>26017280</v>
      </c>
      <c r="AH62" s="268">
        <f>+AH52+AH53+AH54+AH55+AH56+AH57+AH58+AH59+AH60+AH61</f>
        <v>-2129974</v>
      </c>
      <c r="AI62" s="269">
        <f t="shared" si="72"/>
        <v>0.92432746725488746</v>
      </c>
      <c r="AJ62" s="267"/>
      <c r="AK62" s="268">
        <v>31611920</v>
      </c>
      <c r="AL62" s="267"/>
      <c r="AM62" s="268">
        <f>+AM52+AM53+AM54+AM55+AM56+AM57+AM58+AM59+AM60+AM61</f>
        <v>26393917</v>
      </c>
      <c r="AN62" s="268">
        <f>+AN52+AN53+AN54+AN55+AN56+AN57+AN58+AN59+AN60+AN61</f>
        <v>36678055</v>
      </c>
      <c r="AO62" s="268">
        <f>+AO52+AO53+AO54+AO55+AO56+AO57+AO58+AO59+AO60+AO61</f>
        <v>10284138</v>
      </c>
      <c r="AP62" s="269">
        <f t="shared" si="56"/>
        <v>1.3896404614745133</v>
      </c>
      <c r="AQ62" s="267"/>
      <c r="AR62" s="268">
        <v>25445580</v>
      </c>
      <c r="AS62" s="267"/>
      <c r="AT62" s="268">
        <f>+AT52+AT53+AT54+AT55+AT56+AT57+AT58+AT59+AT60+AT61</f>
        <v>24019531</v>
      </c>
      <c r="AU62" s="268">
        <f>+AU52+AU53+AU54+AU55+AU56+AU57+AU58+AU59+AU60+AU61</f>
        <v>37006583</v>
      </c>
      <c r="AV62" s="268">
        <f>+AV52+AV53+AV54+AV55+AV56+AV57+AV58+AV59+AV60+AV61</f>
        <v>12987052</v>
      </c>
      <c r="AW62" s="269">
        <f t="shared" si="58"/>
        <v>1.5406871599616163</v>
      </c>
      <c r="AX62" s="267"/>
      <c r="AY62" s="268">
        <v>21159034</v>
      </c>
      <c r="AZ62" s="267"/>
      <c r="BA62" s="268">
        <f>+BA52+BA53+BA54+BA55+BA56+BA57+BA58+BA59+BA60+BA61</f>
        <v>29859721</v>
      </c>
      <c r="BB62" s="268">
        <f>+BB52+BB53+BB54+BB55+BB56+BB57+BB58+BB59+BB60+BB61</f>
        <v>30303351</v>
      </c>
      <c r="BC62" s="268">
        <f>+BC52+BC53+BC54+BC55+BC56+BC57+BC58+BC59+BC60+BC61</f>
        <v>443630</v>
      </c>
      <c r="BD62" s="269">
        <f t="shared" si="60"/>
        <v>1.0148571381494154</v>
      </c>
      <c r="BE62" s="267"/>
      <c r="BF62" s="268">
        <v>28199285</v>
      </c>
      <c r="BG62" s="267"/>
      <c r="BH62" s="268">
        <f>+BH52+BH53+BH54+BH55+BH56+BH57+BH58+BH59+BH60+BH61</f>
        <v>23330830</v>
      </c>
      <c r="BI62" s="268">
        <f>+BI52+BI53+BI54+BI55+BI56+BI57+BI58+BI59+BI60+BI61</f>
        <v>23302821.300000001</v>
      </c>
      <c r="BJ62" s="268">
        <f>+BJ52+BJ53+BJ54+BJ55+BJ56+BJ57+BJ58+BJ59+BJ60+BJ61</f>
        <v>-28008.699999999255</v>
      </c>
      <c r="BK62" s="269">
        <f t="shared" si="62"/>
        <v>0.99879949834617976</v>
      </c>
      <c r="BL62" s="267"/>
      <c r="BM62" s="268">
        <v>20427482</v>
      </c>
      <c r="BN62" s="267"/>
      <c r="BO62" s="268">
        <f>+BO52+BO53+BO54+BO55+BO56+BO57+BO58+BO59+BO60+BO61</f>
        <v>21234394</v>
      </c>
      <c r="BP62" s="268">
        <f>+BP52+BP53+BP54+BP55+BP56+BP57+BP58+BP59+BP60+BP61</f>
        <v>16942425</v>
      </c>
      <c r="BQ62" s="268">
        <f>+BQ52+BQ53+BQ54+BQ55+BQ56+BQ57+BQ58+BQ59+BQ60+BQ61</f>
        <v>-4291969</v>
      </c>
      <c r="BR62" s="269">
        <f t="shared" si="64"/>
        <v>0.79787654877271275</v>
      </c>
      <c r="BS62" s="267"/>
      <c r="BT62" s="268">
        <v>20317155</v>
      </c>
      <c r="BU62" s="267"/>
      <c r="BV62" s="268">
        <f>+BV52+BV53+BV54+BV55+BV56+BV57+BV58+BV59+BV60+BV61</f>
        <v>22020008</v>
      </c>
      <c r="BW62" s="268">
        <f>+BW52+BW53+BW54+BW55+BW56+BW57+BW58+BW59+BW60+BW61</f>
        <v>27876024</v>
      </c>
      <c r="BX62" s="268">
        <f>+BX52+BX53+BX54+BX55+BX56+BX57+BX58+BX59+BX60+BX61</f>
        <v>5856016</v>
      </c>
      <c r="BY62" s="269">
        <f t="shared" si="66"/>
        <v>1.2659406844902146</v>
      </c>
      <c r="BZ62" s="267"/>
      <c r="CA62" s="268">
        <v>25042010</v>
      </c>
      <c r="CB62" s="267"/>
      <c r="CC62" s="268">
        <f>+CC52+CC53+CC54+CC55+CC56+CC57+CC58+CC59+CC60+CC61</f>
        <v>21232116</v>
      </c>
      <c r="CD62" s="268">
        <v>29562755</v>
      </c>
      <c r="CE62" s="268">
        <f>+CE52+CE53+CE54+CE55+CE56+CE57+CE58+CE59+CE60+CE61</f>
        <v>8330639</v>
      </c>
      <c r="CF62" s="269">
        <f t="shared" si="67"/>
        <v>1.3923602810007254</v>
      </c>
      <c r="CG62" s="267"/>
      <c r="CH62" s="268">
        <v>25053890</v>
      </c>
      <c r="CI62" s="267"/>
      <c r="CJ62" s="268">
        <f t="shared" si="27"/>
        <v>281010447</v>
      </c>
      <c r="CK62" s="268">
        <f t="shared" si="27"/>
        <v>301036274.30000001</v>
      </c>
      <c r="CL62" s="268">
        <f t="shared" si="23"/>
        <v>20025827.300000012</v>
      </c>
      <c r="CM62" s="269">
        <f t="shared" si="68"/>
        <v>1.0712636398888047</v>
      </c>
      <c r="CN62" s="267"/>
      <c r="CO62" s="268">
        <f t="shared" si="29"/>
        <v>270355869</v>
      </c>
      <c r="CP62" s="267"/>
      <c r="CQ62" s="268">
        <f t="shared" si="47"/>
        <v>302242563</v>
      </c>
      <c r="CR62" s="268">
        <f>SUM(CR52:CR61)</f>
        <v>330599029.30000001</v>
      </c>
      <c r="CS62" s="268">
        <f>SUM(CS52:CS61)</f>
        <v>20025827.300000001</v>
      </c>
      <c r="CT62" s="269">
        <f t="shared" si="70"/>
        <v>1.0938202284236189</v>
      </c>
      <c r="CU62" s="267"/>
      <c r="CV62" s="268">
        <v>295409759</v>
      </c>
      <c r="CW62" s="267"/>
      <c r="CX62" s="267"/>
    </row>
    <row r="63" spans="1:102" s="26" customFormat="1" ht="16.5" customHeight="1" x14ac:dyDescent="0.3">
      <c r="A63" s="35">
        <v>44</v>
      </c>
      <c r="B63" s="36" t="s">
        <v>59</v>
      </c>
      <c r="D63" s="5"/>
      <c r="E63" s="5"/>
      <c r="F63" s="273"/>
      <c r="G63" s="263"/>
      <c r="I63" s="5"/>
      <c r="J63" s="218"/>
      <c r="K63" s="5"/>
      <c r="L63" s="227"/>
      <c r="M63" s="273"/>
      <c r="N63" s="37"/>
      <c r="P63" s="5"/>
      <c r="R63" s="5"/>
      <c r="S63" s="227"/>
      <c r="T63" s="4"/>
      <c r="U63" s="263"/>
      <c r="W63" s="5"/>
      <c r="Y63" s="5"/>
      <c r="Z63" s="227"/>
      <c r="AA63" s="4"/>
      <c r="AB63" s="263"/>
      <c r="AD63" s="5"/>
      <c r="AF63" s="5"/>
      <c r="AG63" s="5"/>
      <c r="AH63" s="5"/>
      <c r="AI63" s="37"/>
      <c r="AK63" s="5"/>
      <c r="AM63" s="5"/>
      <c r="AN63" s="227"/>
      <c r="AO63" s="3">
        <f>AN63-AM63</f>
        <v>0</v>
      </c>
      <c r="AP63" s="37">
        <f t="shared" si="56"/>
        <v>0</v>
      </c>
      <c r="AR63" s="5"/>
      <c r="AT63" s="5"/>
      <c r="AU63" s="5"/>
      <c r="AV63" s="5"/>
      <c r="AW63" s="37">
        <f t="shared" si="58"/>
        <v>0</v>
      </c>
      <c r="AY63" s="5"/>
      <c r="BA63" s="5"/>
      <c r="BB63" s="227"/>
      <c r="BC63" s="227"/>
      <c r="BD63" s="37"/>
      <c r="BF63" s="5"/>
      <c r="BH63" s="5"/>
      <c r="BI63" s="227"/>
      <c r="BJ63" s="227"/>
      <c r="BK63" s="37"/>
      <c r="BM63" s="5"/>
      <c r="BO63" s="5"/>
      <c r="BP63" s="5"/>
      <c r="BQ63" s="5"/>
      <c r="BR63" s="37"/>
      <c r="BT63" s="5"/>
      <c r="BV63" s="5"/>
      <c r="BW63" s="43"/>
      <c r="BX63" s="5"/>
      <c r="BY63" s="37"/>
      <c r="CA63" s="3"/>
      <c r="CC63" s="5"/>
      <c r="CD63" s="5"/>
      <c r="CE63" s="5"/>
      <c r="CF63" s="37"/>
      <c r="CH63" s="3"/>
      <c r="CJ63" s="228">
        <f t="shared" si="27"/>
        <v>0</v>
      </c>
      <c r="CK63" s="5">
        <f t="shared" si="27"/>
        <v>0</v>
      </c>
      <c r="CL63" s="4"/>
      <c r="CM63" s="37"/>
      <c r="CO63" s="3">
        <f t="shared" si="29"/>
        <v>0</v>
      </c>
      <c r="CQ63" s="228">
        <f t="shared" si="47"/>
        <v>0</v>
      </c>
      <c r="CR63" s="5"/>
      <c r="CS63" s="4">
        <f>CR63-CQ63</f>
        <v>0</v>
      </c>
      <c r="CT63" s="37"/>
      <c r="CV63" s="3"/>
    </row>
    <row r="64" spans="1:102" s="31" customFormat="1" ht="16.5" customHeight="1" x14ac:dyDescent="0.3">
      <c r="A64" s="29"/>
      <c r="B64" s="30" t="s">
        <v>60</v>
      </c>
      <c r="D64" s="3">
        <v>796642</v>
      </c>
      <c r="E64" s="3">
        <v>970950</v>
      </c>
      <c r="F64" s="3">
        <f>E64-D64</f>
        <v>174308</v>
      </c>
      <c r="G64" s="32">
        <f>IFERROR(E64/D64,0)</f>
        <v>1.2188034273864548</v>
      </c>
      <c r="I64" s="3">
        <v>724453</v>
      </c>
      <c r="J64" s="221"/>
      <c r="K64" s="33">
        <v>796642</v>
      </c>
      <c r="L64" s="255">
        <v>970950</v>
      </c>
      <c r="M64" s="3">
        <f>L64-K64</f>
        <v>174308</v>
      </c>
      <c r="N64" s="32">
        <f t="shared" si="2"/>
        <v>1.2188034273864548</v>
      </c>
      <c r="P64" s="3">
        <v>724453</v>
      </c>
      <c r="R64" s="3">
        <v>796642</v>
      </c>
      <c r="S64" s="223">
        <v>970950</v>
      </c>
      <c r="T64" s="3">
        <f>S64-R64</f>
        <v>174308</v>
      </c>
      <c r="U64" s="32">
        <f t="shared" si="52"/>
        <v>1.2188034273864548</v>
      </c>
      <c r="W64" s="3">
        <v>724453</v>
      </c>
      <c r="Y64" s="3">
        <v>796642</v>
      </c>
      <c r="Z64" s="223">
        <v>970950</v>
      </c>
      <c r="AA64" s="3">
        <f>Z64-Y64</f>
        <v>174308</v>
      </c>
      <c r="AB64" s="32">
        <f>IFERROR(Z64/Y64,0)</f>
        <v>1.2188034273864548</v>
      </c>
      <c r="AD64" s="3">
        <v>724453</v>
      </c>
      <c r="AF64" s="3">
        <v>796642</v>
      </c>
      <c r="AG64" s="3">
        <v>970950</v>
      </c>
      <c r="AH64" s="3">
        <f>AG64-AF64</f>
        <v>174308</v>
      </c>
      <c r="AI64" s="32">
        <f t="shared" ref="AI64:AI70" si="73">IFERROR(AG64/AF64,0)</f>
        <v>1.2188034273864548</v>
      </c>
      <c r="AK64" s="3">
        <v>724453</v>
      </c>
      <c r="AM64" s="3">
        <v>796642</v>
      </c>
      <c r="AN64" s="222">
        <v>970950</v>
      </c>
      <c r="AO64" s="3">
        <f>AN64-AM64</f>
        <v>174308</v>
      </c>
      <c r="AP64" s="32">
        <f t="shared" si="56"/>
        <v>1.2188034273864548</v>
      </c>
      <c r="AR64" s="3">
        <v>724453</v>
      </c>
      <c r="AT64" s="3">
        <v>796642</v>
      </c>
      <c r="AU64" s="3">
        <v>970950</v>
      </c>
      <c r="AV64" s="3">
        <f>AU64-AT64</f>
        <v>174308</v>
      </c>
      <c r="AW64" s="32">
        <f t="shared" si="58"/>
        <v>1.2188034273864548</v>
      </c>
      <c r="AY64" s="3">
        <v>724453</v>
      </c>
      <c r="BA64" s="3">
        <v>796642</v>
      </c>
      <c r="BB64" s="222">
        <v>970950</v>
      </c>
      <c r="BC64" s="222">
        <f>BB64-BA64</f>
        <v>174308</v>
      </c>
      <c r="BD64" s="32">
        <f>IFERROR(BB64/BA64,0)</f>
        <v>1.2188034273864548</v>
      </c>
      <c r="BF64" s="3">
        <v>724453</v>
      </c>
      <c r="BH64" s="3">
        <v>796642</v>
      </c>
      <c r="BI64" s="3">
        <v>970950</v>
      </c>
      <c r="BJ64" s="222">
        <f>BI64-BH64</f>
        <v>174308</v>
      </c>
      <c r="BK64" s="32">
        <f>IFERROR(BI64/BH64,0)</f>
        <v>1.2188034273864548</v>
      </c>
      <c r="BM64" s="3">
        <v>724453</v>
      </c>
      <c r="BO64" s="3">
        <v>796644</v>
      </c>
      <c r="BP64" s="3">
        <v>970982.23</v>
      </c>
      <c r="BQ64" s="3">
        <f>BP64-BO64</f>
        <v>174338.22999999998</v>
      </c>
      <c r="BR64" s="32">
        <f>IFERROR(BP64/BO64,0)</f>
        <v>1.2188408247598677</v>
      </c>
      <c r="BT64" s="3">
        <v>724455</v>
      </c>
      <c r="BV64" s="3">
        <v>0</v>
      </c>
      <c r="BW64" s="34">
        <v>0</v>
      </c>
      <c r="BX64" s="3">
        <f>BW64-BV64</f>
        <v>0</v>
      </c>
      <c r="BY64" s="32">
        <f>IFERROR(BW64/BV64,0)</f>
        <v>0</v>
      </c>
      <c r="CA64" s="3">
        <v>0</v>
      </c>
      <c r="CC64" s="3">
        <v>0</v>
      </c>
      <c r="CD64" s="3">
        <v>0</v>
      </c>
      <c r="CE64" s="3">
        <f>CD64-CC64</f>
        <v>0</v>
      </c>
      <c r="CF64" s="32">
        <f>IFERROR(CD64/CC64,0)</f>
        <v>0</v>
      </c>
      <c r="CH64" s="3">
        <v>0</v>
      </c>
      <c r="CJ64" s="225">
        <f t="shared" si="27"/>
        <v>7966422</v>
      </c>
      <c r="CK64" s="3">
        <f t="shared" si="27"/>
        <v>9709532.2300000004</v>
      </c>
      <c r="CL64" s="3">
        <f t="shared" si="23"/>
        <v>1743110.2300000004</v>
      </c>
      <c r="CM64" s="32">
        <f>IFERROR(CK64/CJ64,0)</f>
        <v>1.2188071671322458</v>
      </c>
      <c r="CO64" s="3">
        <f t="shared" si="29"/>
        <v>7244532</v>
      </c>
      <c r="CQ64" s="225">
        <f t="shared" si="47"/>
        <v>7966422</v>
      </c>
      <c r="CR64" s="3">
        <f>+E64+L64+S64+Z64+AG64+AN64+AU64+BB64+BI64+BP64+BW64+CD64</f>
        <v>9709532.2300000004</v>
      </c>
      <c r="CS64" s="3">
        <f>CR64-CQ64</f>
        <v>1743110.2300000004</v>
      </c>
      <c r="CT64" s="32">
        <f>IFERROR(CR64/CQ64,0)</f>
        <v>1.2188071671322458</v>
      </c>
      <c r="CV64" s="3">
        <v>7244532</v>
      </c>
    </row>
    <row r="65" spans="1:102" s="31" customFormat="1" ht="16.5" customHeight="1" x14ac:dyDescent="0.3">
      <c r="A65" s="29"/>
      <c r="B65" s="30" t="s">
        <v>61</v>
      </c>
      <c r="D65" s="3">
        <v>7923565</v>
      </c>
      <c r="E65" s="3">
        <v>9102893</v>
      </c>
      <c r="F65" s="3">
        <f>E65-D65</f>
        <v>1179328</v>
      </c>
      <c r="G65" s="32">
        <f>IFERROR(E65/D65,0)</f>
        <v>1.1488380545878023</v>
      </c>
      <c r="I65" s="3">
        <v>7317614</v>
      </c>
      <c r="J65" s="221"/>
      <c r="K65" s="33">
        <v>7923565</v>
      </c>
      <c r="L65" s="222">
        <v>9102893</v>
      </c>
      <c r="M65" s="3">
        <f>L65-K65</f>
        <v>1179328</v>
      </c>
      <c r="N65" s="32">
        <f t="shared" si="2"/>
        <v>1.1488380545878023</v>
      </c>
      <c r="P65" s="3">
        <v>7317614</v>
      </c>
      <c r="R65" s="3">
        <v>7923565</v>
      </c>
      <c r="S65" s="223">
        <v>9102893</v>
      </c>
      <c r="T65" s="3">
        <f>S65-R65</f>
        <v>1179328</v>
      </c>
      <c r="U65" s="32">
        <f t="shared" si="52"/>
        <v>1.1488380545878023</v>
      </c>
      <c r="W65" s="3">
        <v>7317614</v>
      </c>
      <c r="Y65" s="3">
        <v>7923565</v>
      </c>
      <c r="Z65" s="223">
        <v>9102893</v>
      </c>
      <c r="AA65" s="3">
        <f>Z65-Y65</f>
        <v>1179328</v>
      </c>
      <c r="AB65" s="32">
        <f>IFERROR(Z65/Y65,0)</f>
        <v>1.1488380545878023</v>
      </c>
      <c r="AD65" s="3">
        <v>7317614</v>
      </c>
      <c r="AF65" s="3">
        <v>7923565</v>
      </c>
      <c r="AG65" s="3">
        <v>9102893</v>
      </c>
      <c r="AH65" s="3">
        <f>AG65-AF65</f>
        <v>1179328</v>
      </c>
      <c r="AI65" s="32">
        <f t="shared" si="73"/>
        <v>1.1488380545878023</v>
      </c>
      <c r="AK65" s="3">
        <v>7317614</v>
      </c>
      <c r="AM65" s="3">
        <v>7923565</v>
      </c>
      <c r="AN65" s="222">
        <v>9102893</v>
      </c>
      <c r="AO65" s="3">
        <f>AN65-AM65</f>
        <v>1179328</v>
      </c>
      <c r="AP65" s="32">
        <f t="shared" si="56"/>
        <v>1.1488380545878023</v>
      </c>
      <c r="AR65" s="3">
        <v>7317614</v>
      </c>
      <c r="AT65" s="3">
        <v>7923565</v>
      </c>
      <c r="AU65" s="3">
        <v>9102893</v>
      </c>
      <c r="AV65" s="3">
        <f>AU65-AT65</f>
        <v>1179328</v>
      </c>
      <c r="AW65" s="32">
        <f t="shared" si="58"/>
        <v>1.1488380545878023</v>
      </c>
      <c r="AY65" s="3">
        <v>7317614</v>
      </c>
      <c r="BA65" s="3">
        <v>7923565</v>
      </c>
      <c r="BB65" s="222">
        <v>9102893</v>
      </c>
      <c r="BC65" s="222">
        <f>BB65-BA65</f>
        <v>1179328</v>
      </c>
      <c r="BD65" s="32">
        <f>IFERROR(BB65/BA65,0)</f>
        <v>1.1488380545878023</v>
      </c>
      <c r="BF65" s="3">
        <v>7317614</v>
      </c>
      <c r="BH65" s="3">
        <v>7923565</v>
      </c>
      <c r="BI65" s="3">
        <v>9102893</v>
      </c>
      <c r="BJ65" s="222">
        <f>BI65-BH65</f>
        <v>1179328</v>
      </c>
      <c r="BK65" s="32">
        <f>IFERROR(BI65/BH65,0)</f>
        <v>1.1488380545878023</v>
      </c>
      <c r="BM65" s="3">
        <v>7317614</v>
      </c>
      <c r="BO65" s="3">
        <v>7923565</v>
      </c>
      <c r="BP65" s="3">
        <v>9102893</v>
      </c>
      <c r="BQ65" s="3">
        <f>BP65-BO65</f>
        <v>1179328</v>
      </c>
      <c r="BR65" s="32">
        <f>IFERROR(BP65/BO65,0)</f>
        <v>1.1488380545878023</v>
      </c>
      <c r="BT65" s="3">
        <v>7317614</v>
      </c>
      <c r="BV65" s="3">
        <v>7929271</v>
      </c>
      <c r="BW65" s="34">
        <v>9102893</v>
      </c>
      <c r="BX65" s="3">
        <f>BW65-BV65</f>
        <v>1173622</v>
      </c>
      <c r="BY65" s="32">
        <f>IFERROR(BW65/BV65,0)</f>
        <v>1.148011336729442</v>
      </c>
      <c r="CA65" s="3">
        <v>7317614</v>
      </c>
      <c r="CC65" s="3">
        <v>7933085</v>
      </c>
      <c r="CD65" s="3">
        <v>9102891</v>
      </c>
      <c r="CE65" s="3">
        <f>CD65-CC65</f>
        <v>1169806</v>
      </c>
      <c r="CF65" s="32">
        <f>IFERROR(CD65/CC65,0)</f>
        <v>1.1474591536583814</v>
      </c>
      <c r="CH65" s="3">
        <v>7317613</v>
      </c>
      <c r="CJ65" s="225">
        <f t="shared" si="27"/>
        <v>87164921</v>
      </c>
      <c r="CK65" s="3">
        <f t="shared" si="27"/>
        <v>100131823</v>
      </c>
      <c r="CL65" s="3">
        <f t="shared" si="23"/>
        <v>12966902</v>
      </c>
      <c r="CM65" s="32">
        <f>IFERROR(CK65/CJ65,0)</f>
        <v>1.1487628492200435</v>
      </c>
      <c r="CO65" s="3">
        <f t="shared" si="29"/>
        <v>80493754</v>
      </c>
      <c r="CQ65" s="225">
        <f t="shared" si="47"/>
        <v>95098006</v>
      </c>
      <c r="CR65" s="3">
        <f>+E65+L65+S65+Z65+AG65+AN65+AU65+BB65+BI65+BP65+BW65+CD65</f>
        <v>109234714</v>
      </c>
      <c r="CS65" s="3">
        <f>CR65-CQ65</f>
        <v>14136708</v>
      </c>
      <c r="CT65" s="32">
        <f>IFERROR(CR65/CQ65,0)</f>
        <v>1.1486540948082549</v>
      </c>
      <c r="CV65" s="3">
        <v>87811367</v>
      </c>
    </row>
    <row r="66" spans="1:102" s="31" customFormat="1" x14ac:dyDescent="0.3">
      <c r="A66" s="265"/>
      <c r="B66" s="266" t="s">
        <v>62</v>
      </c>
      <c r="C66" s="267"/>
      <c r="D66" s="268">
        <f>+D64+D65</f>
        <v>8720207</v>
      </c>
      <c r="E66" s="268">
        <f>+E64+E65</f>
        <v>10073843</v>
      </c>
      <c r="F66" s="268">
        <f>+F64+F65</f>
        <v>1353636</v>
      </c>
      <c r="G66" s="269">
        <f>IFERROR(E66/D66,0)</f>
        <v>1.1552298013109092</v>
      </c>
      <c r="H66" s="267"/>
      <c r="I66" s="268">
        <v>8042067</v>
      </c>
      <c r="J66" s="267"/>
      <c r="K66" s="268">
        <f>+K64+K65</f>
        <v>8720207</v>
      </c>
      <c r="L66" s="268">
        <f>+L64+L65</f>
        <v>10073843</v>
      </c>
      <c r="M66" s="268">
        <f>+M64+M65</f>
        <v>1353636</v>
      </c>
      <c r="N66" s="269">
        <f t="shared" si="2"/>
        <v>1.1552298013109092</v>
      </c>
      <c r="O66" s="267"/>
      <c r="P66" s="268">
        <v>8042067</v>
      </c>
      <c r="Q66" s="267"/>
      <c r="R66" s="268">
        <f>+R64+R65</f>
        <v>8720207</v>
      </c>
      <c r="S66" s="268">
        <f>+S64+S65</f>
        <v>10073843</v>
      </c>
      <c r="T66" s="268">
        <f>+T64+T65</f>
        <v>1353636</v>
      </c>
      <c r="U66" s="269">
        <f t="shared" si="52"/>
        <v>1.1552298013109092</v>
      </c>
      <c r="V66" s="267"/>
      <c r="W66" s="268">
        <v>8042067</v>
      </c>
      <c r="X66" s="267"/>
      <c r="Y66" s="268">
        <f>+Y64+Y65</f>
        <v>8720207</v>
      </c>
      <c r="Z66" s="268">
        <f>+Z64+Z65</f>
        <v>10073843</v>
      </c>
      <c r="AA66" s="268">
        <f>+AA64+AA65</f>
        <v>1353636</v>
      </c>
      <c r="AB66" s="269">
        <f>IFERROR(Z66/Y66,0)</f>
        <v>1.1552298013109092</v>
      </c>
      <c r="AC66" s="267"/>
      <c r="AD66" s="268">
        <v>8042067</v>
      </c>
      <c r="AE66" s="271"/>
      <c r="AF66" s="268">
        <f>+AF64+AF65</f>
        <v>8720207</v>
      </c>
      <c r="AG66" s="268">
        <f>+AG64+AG65</f>
        <v>10073843</v>
      </c>
      <c r="AH66" s="268">
        <f>+AH64+AH65</f>
        <v>1353636</v>
      </c>
      <c r="AI66" s="269">
        <f t="shared" si="73"/>
        <v>1.1552298013109092</v>
      </c>
      <c r="AJ66" s="267"/>
      <c r="AK66" s="268">
        <v>8042067</v>
      </c>
      <c r="AL66" s="267"/>
      <c r="AM66" s="268">
        <f>+AM64+AM65</f>
        <v>8720207</v>
      </c>
      <c r="AN66" s="268">
        <f>+AN64+AN65</f>
        <v>10073843</v>
      </c>
      <c r="AO66" s="268">
        <f>+AO64+AO65</f>
        <v>1353636</v>
      </c>
      <c r="AP66" s="269">
        <f t="shared" si="56"/>
        <v>1.1552298013109092</v>
      </c>
      <c r="AQ66" s="267"/>
      <c r="AR66" s="268">
        <v>8042067</v>
      </c>
      <c r="AS66" s="267"/>
      <c r="AT66" s="268">
        <f>+AT64+AT65</f>
        <v>8720207</v>
      </c>
      <c r="AU66" s="268">
        <f>+AU64+AU65</f>
        <v>10073843</v>
      </c>
      <c r="AV66" s="268">
        <f>+AV64+AV65</f>
        <v>1353636</v>
      </c>
      <c r="AW66" s="269">
        <f t="shared" si="58"/>
        <v>1.1552298013109092</v>
      </c>
      <c r="AX66" s="267"/>
      <c r="AY66" s="268">
        <v>8042067</v>
      </c>
      <c r="AZ66" s="267"/>
      <c r="BA66" s="268">
        <f>+BA64+BA65</f>
        <v>8720207</v>
      </c>
      <c r="BB66" s="268">
        <f>+BB64+BB65</f>
        <v>10073843</v>
      </c>
      <c r="BC66" s="268">
        <f>+BC64+BC65</f>
        <v>1353636</v>
      </c>
      <c r="BD66" s="269">
        <f>IFERROR(BB66/BA66,0)</f>
        <v>1.1552298013109092</v>
      </c>
      <c r="BE66" s="267"/>
      <c r="BF66" s="268">
        <v>8042067</v>
      </c>
      <c r="BG66" s="267"/>
      <c r="BH66" s="268">
        <f>+BH64+BH65</f>
        <v>8720207</v>
      </c>
      <c r="BI66" s="268">
        <f>BI65+BI64</f>
        <v>10073843</v>
      </c>
      <c r="BJ66" s="268">
        <f>+BJ64+BJ65</f>
        <v>1353636</v>
      </c>
      <c r="BK66" s="269">
        <f>IFERROR(BI66/BH66,0)</f>
        <v>1.1552298013109092</v>
      </c>
      <c r="BL66" s="267"/>
      <c r="BM66" s="268">
        <v>8042067</v>
      </c>
      <c r="BN66" s="267"/>
      <c r="BO66" s="268">
        <f>+BO64+BO65</f>
        <v>8720209</v>
      </c>
      <c r="BP66" s="268">
        <f>+BP64+BP65</f>
        <v>10073875.23</v>
      </c>
      <c r="BQ66" s="268">
        <f>+BQ64+BQ65</f>
        <v>1353666.23</v>
      </c>
      <c r="BR66" s="269">
        <f>IFERROR(BP66/BO66,0)</f>
        <v>1.1552332323686278</v>
      </c>
      <c r="BS66" s="267"/>
      <c r="BT66" s="268">
        <v>8042069</v>
      </c>
      <c r="BU66" s="267"/>
      <c r="BV66" s="268">
        <f>+BV64+BV65</f>
        <v>7929271</v>
      </c>
      <c r="BW66" s="268">
        <f>+BW64+BW65</f>
        <v>9102893</v>
      </c>
      <c r="BX66" s="268">
        <f>+BX64+BX65</f>
        <v>1173622</v>
      </c>
      <c r="BY66" s="269">
        <f>IFERROR(BW66/BV66,0)</f>
        <v>1.148011336729442</v>
      </c>
      <c r="BZ66" s="267"/>
      <c r="CA66" s="268">
        <v>7317614</v>
      </c>
      <c r="CB66" s="267"/>
      <c r="CC66" s="268">
        <f>+CC64+CC65</f>
        <v>7933085</v>
      </c>
      <c r="CD66" s="268">
        <v>9102891</v>
      </c>
      <c r="CE66" s="268">
        <f>+CE64+CE65</f>
        <v>1169806</v>
      </c>
      <c r="CF66" s="269">
        <f>IFERROR(CD66/CC66,0)</f>
        <v>1.1474591536583814</v>
      </c>
      <c r="CG66" s="267"/>
      <c r="CH66" s="268">
        <v>7317613</v>
      </c>
      <c r="CI66" s="267"/>
      <c r="CJ66" s="268">
        <f t="shared" si="27"/>
        <v>95131343</v>
      </c>
      <c r="CK66" s="268">
        <f t="shared" si="27"/>
        <v>109841355.23</v>
      </c>
      <c r="CL66" s="268">
        <f t="shared" si="23"/>
        <v>14710012.230000004</v>
      </c>
      <c r="CM66" s="269">
        <f>IFERROR(CK66/CJ66,0)</f>
        <v>1.1546284512140232</v>
      </c>
      <c r="CN66" s="267"/>
      <c r="CO66" s="268">
        <f t="shared" si="29"/>
        <v>87738286</v>
      </c>
      <c r="CP66" s="267"/>
      <c r="CQ66" s="268">
        <f t="shared" si="47"/>
        <v>103064428</v>
      </c>
      <c r="CR66" s="268">
        <f>+CR64+CR65</f>
        <v>118944246.23</v>
      </c>
      <c r="CS66" s="268">
        <f>+CS64+CS65</f>
        <v>15879818.23</v>
      </c>
      <c r="CT66" s="269">
        <f>IFERROR(CR66/CQ66,0)</f>
        <v>1.1540766153575315</v>
      </c>
      <c r="CU66" s="267"/>
      <c r="CV66" s="268">
        <v>95055899</v>
      </c>
      <c r="CW66" s="267"/>
      <c r="CX66" s="267"/>
    </row>
    <row r="67" spans="1:102" s="26" customFormat="1" ht="16.5" customHeight="1" x14ac:dyDescent="0.3">
      <c r="A67" s="35">
        <v>45</v>
      </c>
      <c r="B67" s="36" t="s">
        <v>99</v>
      </c>
      <c r="D67" s="4"/>
      <c r="E67" s="4"/>
      <c r="F67" s="4"/>
      <c r="G67" s="275"/>
      <c r="I67" s="4"/>
      <c r="J67" s="218"/>
      <c r="K67" s="33"/>
      <c r="L67" s="226"/>
      <c r="M67" s="3"/>
      <c r="N67" s="263">
        <f t="shared" si="2"/>
        <v>0</v>
      </c>
      <c r="P67" s="4"/>
      <c r="R67" s="3"/>
      <c r="S67" s="276"/>
      <c r="T67" s="3"/>
      <c r="U67" s="32">
        <f t="shared" si="52"/>
        <v>0</v>
      </c>
      <c r="W67" s="4"/>
      <c r="Y67" s="4"/>
      <c r="Z67" s="276"/>
      <c r="AA67" s="4"/>
      <c r="AB67" s="263"/>
      <c r="AD67" s="4"/>
      <c r="AF67" s="4"/>
      <c r="AG67" s="4"/>
      <c r="AH67" s="4"/>
      <c r="AI67" s="32"/>
      <c r="AK67" s="4"/>
      <c r="AM67" s="3"/>
      <c r="AN67" s="222"/>
      <c r="AO67" s="3"/>
      <c r="AP67" s="32"/>
      <c r="AR67" s="4"/>
      <c r="AT67" s="3"/>
      <c r="AU67" s="3"/>
      <c r="AV67" s="3"/>
      <c r="AW67" s="32">
        <f t="shared" si="58"/>
        <v>0</v>
      </c>
      <c r="AY67" s="4"/>
      <c r="BA67" s="3"/>
      <c r="BB67" s="222"/>
      <c r="BC67" s="222"/>
      <c r="BD67" s="32">
        <f>IFERROR(BB67/BA67,0)</f>
        <v>0</v>
      </c>
      <c r="BF67" s="3"/>
      <c r="BH67" s="3"/>
      <c r="BI67" s="226"/>
      <c r="BJ67" s="222"/>
      <c r="BK67" s="32"/>
      <c r="BM67" s="3"/>
      <c r="BO67" s="3"/>
      <c r="BP67" s="3"/>
      <c r="BQ67" s="3"/>
      <c r="BR67" s="32"/>
      <c r="BT67" s="3"/>
      <c r="BV67" s="3"/>
      <c r="BW67" s="3"/>
      <c r="BX67" s="3">
        <v>0</v>
      </c>
      <c r="BY67" s="32">
        <f>IFERROR(BW67/BV67,0)</f>
        <v>0</v>
      </c>
      <c r="CA67" s="3"/>
      <c r="CC67" s="7"/>
      <c r="CD67" s="7"/>
      <c r="CE67" s="7"/>
      <c r="CF67" s="32"/>
      <c r="CH67" s="3"/>
      <c r="CJ67" s="277">
        <f t="shared" si="27"/>
        <v>0</v>
      </c>
      <c r="CK67" s="4">
        <f t="shared" si="27"/>
        <v>0</v>
      </c>
      <c r="CL67" s="4"/>
      <c r="CM67" s="32"/>
      <c r="CO67" s="3">
        <f t="shared" si="29"/>
        <v>0</v>
      </c>
      <c r="CQ67" s="277"/>
      <c r="CR67" s="4"/>
      <c r="CS67" s="4"/>
      <c r="CT67" s="32"/>
      <c r="CV67" s="3"/>
    </row>
    <row r="68" spans="1:102" s="26" customFormat="1" ht="16.5" customHeight="1" x14ac:dyDescent="0.3">
      <c r="A68" s="35"/>
      <c r="B68" s="30" t="s">
        <v>100</v>
      </c>
      <c r="D68" s="3">
        <v>0</v>
      </c>
      <c r="E68" s="3">
        <v>0</v>
      </c>
      <c r="F68" s="3">
        <f>E68-D68</f>
        <v>0</v>
      </c>
      <c r="G68" s="32">
        <f t="shared" ref="G68:G76" si="74">IFERROR(E68/D68,0)</f>
        <v>0</v>
      </c>
      <c r="I68" s="3">
        <v>1529277.63</v>
      </c>
      <c r="J68" s="218"/>
      <c r="K68" s="33">
        <v>0</v>
      </c>
      <c r="L68" s="251">
        <v>2654049.54</v>
      </c>
      <c r="M68" s="3">
        <f>L68-K68</f>
        <v>2654049.54</v>
      </c>
      <c r="N68" s="32">
        <f>IFERROR(L68/K68,0)</f>
        <v>0</v>
      </c>
      <c r="P68" s="3">
        <v>35934.44</v>
      </c>
      <c r="R68" s="3">
        <v>0</v>
      </c>
      <c r="S68" s="223">
        <v>5579262.0700000003</v>
      </c>
      <c r="T68" s="3">
        <f>S68-R68</f>
        <v>5579262.0700000003</v>
      </c>
      <c r="U68" s="32">
        <f t="shared" si="52"/>
        <v>0</v>
      </c>
      <c r="W68" s="3">
        <v>9662503.7300000004</v>
      </c>
      <c r="Y68" s="3">
        <v>0</v>
      </c>
      <c r="Z68" s="223">
        <v>7637800.7999999998</v>
      </c>
      <c r="AA68" s="3">
        <f>Z68-Y68</f>
        <v>7637800.7999999998</v>
      </c>
      <c r="AB68" s="32"/>
      <c r="AD68" s="3">
        <v>19599802.190000001</v>
      </c>
      <c r="AF68" s="3">
        <v>0</v>
      </c>
      <c r="AG68" s="3">
        <v>0</v>
      </c>
      <c r="AH68" s="3">
        <f>AG68-AF68</f>
        <v>0</v>
      </c>
      <c r="AI68" s="32">
        <f t="shared" si="73"/>
        <v>0</v>
      </c>
      <c r="AK68" s="3">
        <v>734727.44</v>
      </c>
      <c r="AM68" s="3">
        <v>0</v>
      </c>
      <c r="AN68" s="3">
        <v>0</v>
      </c>
      <c r="AO68" s="3">
        <f>AN68-AM68</f>
        <v>0</v>
      </c>
      <c r="AP68" s="32">
        <f t="shared" si="56"/>
        <v>0</v>
      </c>
      <c r="AR68" s="3">
        <v>18886343.25</v>
      </c>
      <c r="AT68" s="3">
        <v>0</v>
      </c>
      <c r="AU68" s="3">
        <v>0</v>
      </c>
      <c r="AV68" s="3">
        <f>AU68-AT68</f>
        <v>0</v>
      </c>
      <c r="AW68" s="32">
        <f t="shared" si="58"/>
        <v>0</v>
      </c>
      <c r="AY68" s="3">
        <v>14417372.57</v>
      </c>
      <c r="BA68" s="3">
        <v>0</v>
      </c>
      <c r="BB68" s="222">
        <v>3273343.2</v>
      </c>
      <c r="BC68" s="222">
        <f>+BB68-BA68</f>
        <v>3273343.2</v>
      </c>
      <c r="BD68" s="32"/>
      <c r="BF68" s="3">
        <v>10610999.279999999</v>
      </c>
      <c r="BH68" s="3">
        <v>0</v>
      </c>
      <c r="BI68" s="222">
        <v>3636924.86</v>
      </c>
      <c r="BJ68" s="222">
        <f>+BI68-BH68</f>
        <v>3636924.86</v>
      </c>
      <c r="BK68" s="32">
        <f>IFERROR(BI68/BH68,0)</f>
        <v>0</v>
      </c>
      <c r="BM68" s="3">
        <v>14399588.210000001</v>
      </c>
      <c r="BO68" s="3">
        <v>0</v>
      </c>
      <c r="BP68" s="3">
        <v>2399920</v>
      </c>
      <c r="BQ68" s="3">
        <v>0</v>
      </c>
      <c r="BR68" s="32">
        <v>0</v>
      </c>
      <c r="BT68" s="3">
        <v>14078832.98</v>
      </c>
      <c r="BV68" s="3">
        <v>0</v>
      </c>
      <c r="BW68" s="3">
        <v>1091230</v>
      </c>
      <c r="BX68" s="3">
        <v>0</v>
      </c>
      <c r="BY68" s="32"/>
      <c r="CA68" s="3">
        <v>14371450.560000001</v>
      </c>
      <c r="CC68" s="7">
        <v>0</v>
      </c>
      <c r="CD68" s="7">
        <v>0</v>
      </c>
      <c r="CE68" s="7">
        <v>0</v>
      </c>
      <c r="CF68" s="32"/>
      <c r="CH68" s="3">
        <v>18225011.23</v>
      </c>
      <c r="CJ68" s="225">
        <f t="shared" si="27"/>
        <v>0</v>
      </c>
      <c r="CK68" s="3">
        <f t="shared" si="27"/>
        <v>26272530.469999999</v>
      </c>
      <c r="CL68" s="3">
        <f t="shared" ref="CL68:CL76" si="75">CK68-CJ68</f>
        <v>26272530.469999999</v>
      </c>
      <c r="CM68" s="32">
        <f>IFERROR(CK68/CJ68,0)</f>
        <v>0</v>
      </c>
      <c r="CO68" s="3">
        <f t="shared" si="29"/>
        <v>118326832.28000002</v>
      </c>
      <c r="CQ68" s="225">
        <f t="shared" si="47"/>
        <v>0</v>
      </c>
      <c r="CR68" s="3">
        <f>+E68+L68+S68+Z68+AG68+AN68+AU68+BB68+BI68+BP68+BW68+CD68</f>
        <v>26272530.469999999</v>
      </c>
      <c r="CS68" s="3">
        <f>+CR68-CQ68</f>
        <v>26272530.469999999</v>
      </c>
      <c r="CT68" s="32">
        <f>IFERROR(CR68/CQ68,0)</f>
        <v>0</v>
      </c>
      <c r="CV68" s="3">
        <v>136551843.51000002</v>
      </c>
    </row>
    <row r="69" spans="1:102" s="26" customFormat="1" ht="16.5" customHeight="1" x14ac:dyDescent="0.3">
      <c r="A69" s="35"/>
      <c r="B69" s="30" t="s">
        <v>101</v>
      </c>
      <c r="D69" s="3">
        <v>0</v>
      </c>
      <c r="E69" s="3">
        <v>0</v>
      </c>
      <c r="F69" s="3">
        <f>E69-D69</f>
        <v>0</v>
      </c>
      <c r="G69" s="32">
        <f t="shared" si="74"/>
        <v>0</v>
      </c>
      <c r="I69" s="3">
        <v>374642.64</v>
      </c>
      <c r="J69" s="218"/>
      <c r="K69" s="33">
        <v>0</v>
      </c>
      <c r="L69" s="33">
        <v>7268791.1299999999</v>
      </c>
      <c r="M69" s="3">
        <f>L69-K69</f>
        <v>7268791.1299999999</v>
      </c>
      <c r="N69" s="32">
        <f>IFERROR(L69/K69,0)</f>
        <v>0</v>
      </c>
      <c r="P69" s="3">
        <v>25510224.350000001</v>
      </c>
      <c r="R69" s="3">
        <v>0</v>
      </c>
      <c r="S69" s="223">
        <v>13903020.800000001</v>
      </c>
      <c r="T69" s="3">
        <f>S69-R69</f>
        <v>13903020.800000001</v>
      </c>
      <c r="U69" s="32">
        <f t="shared" si="52"/>
        <v>0</v>
      </c>
      <c r="W69" s="3">
        <v>1416235.15</v>
      </c>
      <c r="Y69" s="3">
        <v>0</v>
      </c>
      <c r="Z69" s="3">
        <v>0</v>
      </c>
      <c r="AA69" s="3">
        <f>Z69-Y69</f>
        <v>0</v>
      </c>
      <c r="AB69" s="32"/>
      <c r="AD69" s="3">
        <v>1118795.8400000001</v>
      </c>
      <c r="AF69" s="3">
        <v>0</v>
      </c>
      <c r="AG69" s="3">
        <v>16721357.300000001</v>
      </c>
      <c r="AH69" s="3">
        <f>AG69-AF69</f>
        <v>16721357.300000001</v>
      </c>
      <c r="AI69" s="32">
        <f t="shared" si="73"/>
        <v>0</v>
      </c>
      <c r="AK69" s="3">
        <v>13750208.67</v>
      </c>
      <c r="AM69" s="3">
        <v>0</v>
      </c>
      <c r="AN69" s="222">
        <v>11454717.41</v>
      </c>
      <c r="AO69" s="3">
        <f>AN69-AM69</f>
        <v>11454717.41</v>
      </c>
      <c r="AP69" s="32">
        <f t="shared" si="56"/>
        <v>0</v>
      </c>
      <c r="AR69" s="3">
        <v>1546574.05</v>
      </c>
      <c r="AT69" s="3">
        <v>0</v>
      </c>
      <c r="AU69" s="3">
        <v>4714378.0199999996</v>
      </c>
      <c r="AV69" s="3">
        <f>AU69-AT69</f>
        <v>4714378.0199999996</v>
      </c>
      <c r="AW69" s="32">
        <f t="shared" si="58"/>
        <v>0</v>
      </c>
      <c r="AY69" s="3">
        <v>28998171.899999999</v>
      </c>
      <c r="BA69" s="3">
        <v>0</v>
      </c>
      <c r="BB69" s="222">
        <v>5289491.8899999997</v>
      </c>
      <c r="BC69" s="222">
        <f>+BB69-BA69</f>
        <v>5289491.8899999997</v>
      </c>
      <c r="BD69" s="32"/>
      <c r="BF69" s="3">
        <v>15102008.01</v>
      </c>
      <c r="BH69" s="3">
        <v>0</v>
      </c>
      <c r="BI69" s="222">
        <v>3641970.68</v>
      </c>
      <c r="BJ69" s="222">
        <f>+BI69-BH69</f>
        <v>3641970.68</v>
      </c>
      <c r="BK69" s="32">
        <f>IFERROR(BI69/BH69,0)</f>
        <v>0</v>
      </c>
      <c r="BM69" s="3">
        <v>45957482.579999998</v>
      </c>
      <c r="BO69" s="3">
        <v>0</v>
      </c>
      <c r="BP69" s="3">
        <v>3975708.08</v>
      </c>
      <c r="BQ69" s="3">
        <v>0</v>
      </c>
      <c r="BR69" s="32">
        <v>0</v>
      </c>
      <c r="BT69" s="3">
        <v>12425232.52</v>
      </c>
      <c r="BV69" s="3">
        <v>0</v>
      </c>
      <c r="BW69" s="3">
        <f>1133506.36+0.44</f>
        <v>1133506.8</v>
      </c>
      <c r="BX69" s="3">
        <v>0</v>
      </c>
      <c r="BY69" s="32"/>
      <c r="CA69" s="3">
        <v>20838275.539999999</v>
      </c>
      <c r="CC69" s="7">
        <v>0</v>
      </c>
      <c r="CD69" s="7">
        <v>4673809.17</v>
      </c>
      <c r="CE69" s="7">
        <v>0</v>
      </c>
      <c r="CF69" s="32"/>
      <c r="CH69" s="3">
        <v>46613303.039999999</v>
      </c>
      <c r="CJ69" s="225">
        <f t="shared" ref="CJ69:CK76" si="76">D69+K69+R69+Y69+AF69+AM69+AT69+BA69+BH69+BO69+BV69</f>
        <v>0</v>
      </c>
      <c r="CK69" s="3">
        <f t="shared" si="76"/>
        <v>68102942.109999999</v>
      </c>
      <c r="CL69" s="3">
        <f t="shared" si="75"/>
        <v>68102942.109999999</v>
      </c>
      <c r="CM69" s="32">
        <f>IFERROR(CK69/CJ69,0)</f>
        <v>0</v>
      </c>
      <c r="CO69" s="3">
        <f t="shared" ref="CO69:CO76" si="77">I69+P69+W69+AD69+AK69+AR69+AY69+BF69+BM69+BT69+CA69</f>
        <v>167037851.25</v>
      </c>
      <c r="CQ69" s="225">
        <f t="shared" ref="CQ69:CQ76" si="78">+D69+K69+R69+Y69+AF69+AM69+AT69+BA69+BH69+BO69+BV69+CC69</f>
        <v>0</v>
      </c>
      <c r="CR69" s="3">
        <f>+E69+L69+S69+Z69+AG69+AN69+AU69+BB69+BI69+BP69+BW69+CD69</f>
        <v>72776751.280000001</v>
      </c>
      <c r="CS69" s="3">
        <f>+CR69-CQ69</f>
        <v>72776751.280000001</v>
      </c>
      <c r="CT69" s="32">
        <f>IFERROR(CR69/CQ69,0)</f>
        <v>0</v>
      </c>
      <c r="CV69" s="3">
        <v>213651154.28999999</v>
      </c>
    </row>
    <row r="70" spans="1:102" s="26" customFormat="1" ht="16.5" customHeight="1" x14ac:dyDescent="0.3">
      <c r="A70" s="35"/>
      <c r="B70" s="30" t="s">
        <v>102</v>
      </c>
      <c r="D70" s="3">
        <v>0</v>
      </c>
      <c r="E70" s="3">
        <v>0</v>
      </c>
      <c r="F70" s="3">
        <v>0</v>
      </c>
      <c r="G70" s="32">
        <f t="shared" si="74"/>
        <v>0</v>
      </c>
      <c r="I70" s="3">
        <v>0</v>
      </c>
      <c r="J70" s="218"/>
      <c r="K70" s="33">
        <v>0</v>
      </c>
      <c r="L70" s="33">
        <v>0</v>
      </c>
      <c r="M70" s="3">
        <v>0</v>
      </c>
      <c r="N70" s="32">
        <f>IFERROR(L70/K70,0)</f>
        <v>0</v>
      </c>
      <c r="P70" s="3"/>
      <c r="R70" s="3">
        <v>0</v>
      </c>
      <c r="S70" s="3">
        <v>0</v>
      </c>
      <c r="T70" s="3"/>
      <c r="U70" s="32">
        <f t="shared" si="52"/>
        <v>0</v>
      </c>
      <c r="W70" s="3"/>
      <c r="Y70" s="3">
        <v>0</v>
      </c>
      <c r="Z70" s="3">
        <v>0</v>
      </c>
      <c r="AA70" s="3">
        <v>0</v>
      </c>
      <c r="AB70" s="32"/>
      <c r="AD70" s="3">
        <v>0</v>
      </c>
      <c r="AF70" s="3">
        <v>0</v>
      </c>
      <c r="AG70" s="3">
        <v>0</v>
      </c>
      <c r="AH70" s="3">
        <f>AG70-AF70</f>
        <v>0</v>
      </c>
      <c r="AI70" s="32">
        <f t="shared" si="73"/>
        <v>0</v>
      </c>
      <c r="AK70" s="3">
        <v>1699013.91</v>
      </c>
      <c r="AM70" s="3">
        <v>0</v>
      </c>
      <c r="AN70" s="3">
        <v>0</v>
      </c>
      <c r="AO70" s="3">
        <v>0</v>
      </c>
      <c r="AP70" s="32">
        <v>0</v>
      </c>
      <c r="AR70" s="3"/>
      <c r="AT70" s="3">
        <v>0</v>
      </c>
      <c r="AU70" s="317">
        <v>-649.70000000000005</v>
      </c>
      <c r="AV70" s="3">
        <f>AU70-AT70</f>
        <v>-649.70000000000005</v>
      </c>
      <c r="AW70" s="32">
        <f t="shared" si="58"/>
        <v>0</v>
      </c>
      <c r="AY70" s="3">
        <v>-1699013.91</v>
      </c>
      <c r="BA70" s="3">
        <v>0</v>
      </c>
      <c r="BB70" s="222">
        <v>0</v>
      </c>
      <c r="BC70" s="222">
        <f>+BB70-BA70</f>
        <v>0</v>
      </c>
      <c r="BD70" s="32"/>
      <c r="BF70" s="3">
        <v>144709.01</v>
      </c>
      <c r="BH70" s="3">
        <v>0</v>
      </c>
      <c r="BI70" s="3">
        <v>-510.95</v>
      </c>
      <c r="BJ70" s="3">
        <f>+BI70-BH70</f>
        <v>-510.95</v>
      </c>
      <c r="BK70" s="32">
        <f>IFERROR(BI70/BH70,0)</f>
        <v>0</v>
      </c>
      <c r="BM70" s="3">
        <v>116655.98</v>
      </c>
      <c r="BO70" s="3">
        <v>0</v>
      </c>
      <c r="BP70" s="3">
        <v>0</v>
      </c>
      <c r="BQ70" s="3">
        <v>0</v>
      </c>
      <c r="BR70" s="32">
        <v>0</v>
      </c>
      <c r="BT70" s="3">
        <v>334704.96000000002</v>
      </c>
      <c r="BV70" s="3">
        <v>0</v>
      </c>
      <c r="BW70" s="34">
        <v>0</v>
      </c>
      <c r="BX70" s="3"/>
      <c r="BY70" s="32"/>
      <c r="CA70" s="3">
        <v>714508.78</v>
      </c>
      <c r="CC70" s="7">
        <v>0</v>
      </c>
      <c r="CD70" s="7">
        <v>0</v>
      </c>
      <c r="CE70" s="7"/>
      <c r="CF70" s="32"/>
      <c r="CH70" s="3">
        <v>-1310578.7</v>
      </c>
      <c r="CJ70" s="225">
        <f t="shared" si="76"/>
        <v>0</v>
      </c>
      <c r="CK70" s="3">
        <f t="shared" si="76"/>
        <v>-1160.6500000000001</v>
      </c>
      <c r="CL70" s="3">
        <f t="shared" si="75"/>
        <v>-1160.6500000000001</v>
      </c>
      <c r="CM70" s="32">
        <f>IFERROR(CK70/CJ70,0)</f>
        <v>0</v>
      </c>
      <c r="CO70" s="3">
        <f t="shared" si="77"/>
        <v>1310578.73</v>
      </c>
      <c r="CQ70" s="225">
        <f t="shared" si="78"/>
        <v>0</v>
      </c>
      <c r="CR70" s="3">
        <f>+E70+L70+S70+Z70+AG70+AN70+AU70+BB70+BI70+BP70+BW70+CD70</f>
        <v>-1160.6500000000001</v>
      </c>
      <c r="CS70" s="3">
        <f>+CR70-CQ70</f>
        <v>-1160.6500000000001</v>
      </c>
      <c r="CT70" s="32">
        <f>IFERROR(CR70/CQ70,0)</f>
        <v>0</v>
      </c>
      <c r="CV70" s="3">
        <v>3.0000000027939677E-2</v>
      </c>
    </row>
    <row r="71" spans="1:102" s="26" customFormat="1" ht="16.5" customHeight="1" x14ac:dyDescent="0.3">
      <c r="A71" s="35"/>
      <c r="B71" s="30"/>
      <c r="D71" s="3"/>
      <c r="E71" s="3"/>
      <c r="F71" s="3"/>
      <c r="G71" s="32"/>
      <c r="I71" s="3"/>
      <c r="J71" s="218"/>
      <c r="K71" s="33"/>
      <c r="L71" s="33"/>
      <c r="M71" s="3"/>
      <c r="N71" s="32"/>
      <c r="P71" s="3"/>
      <c r="R71" s="3"/>
      <c r="S71" s="3"/>
      <c r="T71" s="3"/>
      <c r="U71" s="32"/>
      <c r="W71" s="3"/>
      <c r="Y71" s="3"/>
      <c r="Z71" s="3"/>
      <c r="AA71" s="3"/>
      <c r="AB71" s="32"/>
      <c r="AD71" s="3"/>
      <c r="AF71" s="3"/>
      <c r="AG71" s="3"/>
      <c r="AH71" s="3"/>
      <c r="AI71" s="32"/>
      <c r="AK71" s="3"/>
      <c r="AM71" s="3"/>
      <c r="AN71" s="3"/>
      <c r="AO71" s="3"/>
      <c r="AP71" s="32"/>
      <c r="AR71" s="3"/>
      <c r="AT71" s="3"/>
      <c r="AU71" s="317"/>
      <c r="AV71" s="3"/>
      <c r="AW71" s="32"/>
      <c r="AY71" s="3"/>
      <c r="BA71" s="3"/>
      <c r="BB71" s="222"/>
      <c r="BC71" s="222"/>
      <c r="BD71" s="32"/>
      <c r="BF71" s="3"/>
      <c r="BH71" s="3"/>
      <c r="BI71" s="3"/>
      <c r="BJ71" s="3"/>
      <c r="BK71" s="32"/>
      <c r="BM71" s="3"/>
      <c r="BO71" s="3"/>
      <c r="BP71" s="3"/>
      <c r="BQ71" s="3"/>
      <c r="BR71" s="32"/>
      <c r="BT71" s="3"/>
      <c r="BV71" s="3"/>
      <c r="BW71" s="34"/>
      <c r="BX71" s="3"/>
      <c r="BY71" s="32"/>
      <c r="CA71" s="3"/>
      <c r="CC71" s="7"/>
      <c r="CD71" s="7">
        <v>484345.31</v>
      </c>
      <c r="CE71" s="7"/>
      <c r="CF71" s="32"/>
      <c r="CH71" s="3"/>
      <c r="CJ71" s="34"/>
      <c r="CK71" s="3"/>
      <c r="CL71" s="3"/>
      <c r="CM71" s="32"/>
      <c r="CO71" s="3"/>
      <c r="CQ71" s="34"/>
      <c r="CR71" s="3">
        <f>+E71+L71+S71+Z71+AG71+AN71+AU71+BB71+BI71+BP71+BW71+CD71</f>
        <v>484345.31</v>
      </c>
      <c r="CS71" s="3"/>
      <c r="CT71" s="32"/>
      <c r="CV71" s="3"/>
    </row>
    <row r="72" spans="1:102" s="31" customFormat="1" x14ac:dyDescent="0.3">
      <c r="A72" s="265"/>
      <c r="B72" s="266" t="s">
        <v>103</v>
      </c>
      <c r="C72" s="267"/>
      <c r="D72" s="268">
        <f>+D68+D69+D70</f>
        <v>0</v>
      </c>
      <c r="E72" s="268">
        <f>+E68+E69+E70</f>
        <v>0</v>
      </c>
      <c r="F72" s="268">
        <f>+F68+F69+F70</f>
        <v>0</v>
      </c>
      <c r="G72" s="269">
        <f t="shared" si="74"/>
        <v>0</v>
      </c>
      <c r="H72" s="267"/>
      <c r="I72" s="268">
        <v>1903920.27</v>
      </c>
      <c r="J72" s="267"/>
      <c r="K72" s="268">
        <f>+K68+K69+K70</f>
        <v>0</v>
      </c>
      <c r="L72" s="268">
        <f>+L68+L69+L70</f>
        <v>9922840.6699999999</v>
      </c>
      <c r="M72" s="268">
        <f>+M68+M69+M70</f>
        <v>9922840.6699999999</v>
      </c>
      <c r="N72" s="269">
        <v>0</v>
      </c>
      <c r="O72" s="267"/>
      <c r="P72" s="268">
        <v>25546158.790000003</v>
      </c>
      <c r="Q72" s="267"/>
      <c r="R72" s="268">
        <f>+R68+R69+R70</f>
        <v>0</v>
      </c>
      <c r="S72" s="268">
        <f>+S68+S69+S70</f>
        <v>19482282.870000001</v>
      </c>
      <c r="T72" s="268">
        <f>+T68+T69+T70</f>
        <v>19482282.870000001</v>
      </c>
      <c r="U72" s="269">
        <f t="shared" si="52"/>
        <v>0</v>
      </c>
      <c r="V72" s="267"/>
      <c r="W72" s="268">
        <v>11078738.880000001</v>
      </c>
      <c r="X72" s="267"/>
      <c r="Y72" s="268">
        <f>+Y68+Y69+Y70</f>
        <v>0</v>
      </c>
      <c r="Z72" s="268">
        <f>+Z68+Z69+Z70</f>
        <v>7637800.7999999998</v>
      </c>
      <c r="AA72" s="268">
        <f>+AA68+AA69+AA70</f>
        <v>7637800.7999999998</v>
      </c>
      <c r="AB72" s="269"/>
      <c r="AC72" s="267"/>
      <c r="AD72" s="268">
        <v>20718598.030000001</v>
      </c>
      <c r="AE72" s="271"/>
      <c r="AF72" s="268">
        <f>+AF68+AF69+AF70</f>
        <v>0</v>
      </c>
      <c r="AG72" s="268">
        <f>+AG68+AG69+AG70</f>
        <v>16721357.300000001</v>
      </c>
      <c r="AH72" s="268">
        <f>+AH68+AH69+AH70</f>
        <v>16721357.300000001</v>
      </c>
      <c r="AI72" s="269"/>
      <c r="AJ72" s="267"/>
      <c r="AK72" s="268">
        <v>16183950.02</v>
      </c>
      <c r="AL72" s="267"/>
      <c r="AM72" s="268">
        <f>+AM68+AM69+AM70</f>
        <v>0</v>
      </c>
      <c r="AN72" s="268">
        <f>+AN68+AN69+AN70</f>
        <v>11454717.41</v>
      </c>
      <c r="AO72" s="268">
        <f>+AO68+AO69+AO70</f>
        <v>11454717.41</v>
      </c>
      <c r="AP72" s="269"/>
      <c r="AQ72" s="267"/>
      <c r="AR72" s="268">
        <v>20432917.300000001</v>
      </c>
      <c r="AS72" s="267"/>
      <c r="AT72" s="268">
        <f>+AT68+AT69+AT70</f>
        <v>0</v>
      </c>
      <c r="AU72" s="268">
        <f>+AU68+AU69+AU70</f>
        <v>4713728.3199999994</v>
      </c>
      <c r="AV72" s="268">
        <f>+AV68+AV69+AV70</f>
        <v>4713728.3199999994</v>
      </c>
      <c r="AW72" s="269"/>
      <c r="AX72" s="267"/>
      <c r="AY72" s="268">
        <v>41716530.560000002</v>
      </c>
      <c r="AZ72" s="267"/>
      <c r="BA72" s="268">
        <f>+BA68+BA69+BA70</f>
        <v>0</v>
      </c>
      <c r="BB72" s="268">
        <f>+BB68+BB69+BB70</f>
        <v>8562835.0899999999</v>
      </c>
      <c r="BC72" s="268">
        <f>+BC68+BC69+BC70</f>
        <v>8562835.0899999999</v>
      </c>
      <c r="BD72" s="269"/>
      <c r="BE72" s="267"/>
      <c r="BF72" s="268">
        <v>25857716.300000001</v>
      </c>
      <c r="BG72" s="267"/>
      <c r="BH72" s="268">
        <v>0</v>
      </c>
      <c r="BI72" s="268">
        <f>BI68+BI69+BI70</f>
        <v>7278384.5899999999</v>
      </c>
      <c r="BJ72" s="268">
        <f>+BJ68+BJ69+BJ70</f>
        <v>7278384.5899999999</v>
      </c>
      <c r="BK72" s="269"/>
      <c r="BL72" s="267"/>
      <c r="BM72" s="268">
        <v>60473726.769999996</v>
      </c>
      <c r="BN72" s="267"/>
      <c r="BO72" s="268">
        <v>0</v>
      </c>
      <c r="BP72" s="268">
        <f>+BP68+BP69+BP70</f>
        <v>6375628.0800000001</v>
      </c>
      <c r="BQ72" s="268">
        <f>BP72</f>
        <v>6375628.0800000001</v>
      </c>
      <c r="BR72" s="269"/>
      <c r="BS72" s="267"/>
      <c r="BT72" s="268">
        <v>26838770.460000001</v>
      </c>
      <c r="BU72" s="267"/>
      <c r="BV72" s="268">
        <v>0</v>
      </c>
      <c r="BW72" s="268">
        <f>SUM(BW68:BW70)</f>
        <v>2224736.7999999998</v>
      </c>
      <c r="BX72" s="268">
        <f>+BX68+BX69+BX70</f>
        <v>0</v>
      </c>
      <c r="BY72" s="269"/>
      <c r="BZ72" s="267"/>
      <c r="CA72" s="268">
        <v>35924234.880000003</v>
      </c>
      <c r="CB72" s="267"/>
      <c r="CC72" s="268">
        <v>0</v>
      </c>
      <c r="CD72" s="268">
        <v>5158154.4799999995</v>
      </c>
      <c r="CE72" s="268">
        <f>+CE68+CE69+CE70</f>
        <v>0</v>
      </c>
      <c r="CF72" s="269"/>
      <c r="CG72" s="267"/>
      <c r="CH72" s="268">
        <v>63527735.569999993</v>
      </c>
      <c r="CI72" s="267"/>
      <c r="CJ72" s="268">
        <f t="shared" si="76"/>
        <v>0</v>
      </c>
      <c r="CK72" s="268">
        <f t="shared" si="76"/>
        <v>94374311.929999992</v>
      </c>
      <c r="CL72" s="268">
        <f t="shared" si="75"/>
        <v>94374311.929999992</v>
      </c>
      <c r="CM72" s="269"/>
      <c r="CN72" s="267"/>
      <c r="CO72" s="268">
        <f t="shared" si="77"/>
        <v>286675262.26000005</v>
      </c>
      <c r="CP72" s="267"/>
      <c r="CQ72" s="268">
        <f t="shared" si="78"/>
        <v>0</v>
      </c>
      <c r="CR72" s="268">
        <f>+CR68+CR69+CR70+CR71</f>
        <v>99532466.409999996</v>
      </c>
      <c r="CS72" s="268">
        <f>+CS68+CS69+CS70</f>
        <v>99048121.099999994</v>
      </c>
      <c r="CT72" s="269"/>
      <c r="CU72" s="267"/>
      <c r="CV72" s="268">
        <v>350202997.82999998</v>
      </c>
      <c r="CW72" s="267"/>
      <c r="CX72" s="267"/>
    </row>
    <row r="73" spans="1:102" s="31" customFormat="1" ht="16.5" customHeight="1" x14ac:dyDescent="0.3">
      <c r="A73" s="47"/>
      <c r="B73" s="48" t="s">
        <v>64</v>
      </c>
      <c r="D73" s="11">
        <f>+D72+D66+D62</f>
        <v>32706507</v>
      </c>
      <c r="E73" s="11">
        <f>+E72+E66+E62</f>
        <v>45465632</v>
      </c>
      <c r="F73" s="11">
        <f>+F72+F66+F62</f>
        <v>12759125</v>
      </c>
      <c r="G73" s="49">
        <f t="shared" si="74"/>
        <v>1.3901096806210458</v>
      </c>
      <c r="I73" s="11">
        <v>35366470.269999996</v>
      </c>
      <c r="J73" s="221"/>
      <c r="K73" s="11">
        <f>+K72+K66+K62</f>
        <v>39485035</v>
      </c>
      <c r="L73" s="260">
        <f>+L72+L66+L62</f>
        <v>40357043.670000002</v>
      </c>
      <c r="M73" s="11">
        <f>+M72+M66+M62</f>
        <v>872008.66999999993</v>
      </c>
      <c r="N73" s="49">
        <f>IFERROR(L73/K73,0)</f>
        <v>1.0220845358247752</v>
      </c>
      <c r="P73" s="11">
        <v>62111090.790000007</v>
      </c>
      <c r="R73" s="11">
        <f>+R72+R66+R62</f>
        <v>33120745</v>
      </c>
      <c r="S73" s="260">
        <f>+S72+S66+S62</f>
        <v>50424244.870000005</v>
      </c>
      <c r="T73" s="11">
        <f>+T72+T66+T62</f>
        <v>17303499.870000001</v>
      </c>
      <c r="U73" s="49">
        <f>IFERROR(S73/R73,0)</f>
        <v>1.5224369158966686</v>
      </c>
      <c r="W73" s="11">
        <v>41580764.880000003</v>
      </c>
      <c r="Y73" s="11">
        <f>+Y72+Y66+Y62</f>
        <v>35573333</v>
      </c>
      <c r="Z73" s="260">
        <f>+Z72+Z66+Z62</f>
        <v>44001110.799999997</v>
      </c>
      <c r="AA73" s="11">
        <f>+AA72+AA66+AA62</f>
        <v>8427777.8000000007</v>
      </c>
      <c r="AB73" s="49">
        <f>IFERROR(Z73/Y73,0)</f>
        <v>1.2369127964478335</v>
      </c>
      <c r="AD73" s="11">
        <v>50510761.030000001</v>
      </c>
      <c r="AF73" s="11">
        <f>+AF72+AF66+AF62</f>
        <v>36867461</v>
      </c>
      <c r="AG73" s="11">
        <f>+AG72+AG66+AG62</f>
        <v>52812480.299999997</v>
      </c>
      <c r="AH73" s="11">
        <f>+AH72+AH66+AH62</f>
        <v>15945019.300000001</v>
      </c>
      <c r="AI73" s="49">
        <f>IFERROR(AG73/AF73,0)</f>
        <v>1.4324957257024018</v>
      </c>
      <c r="AK73" s="11">
        <v>55837937.019999996</v>
      </c>
      <c r="AM73" s="260">
        <f>AM66+AM62+AM67</f>
        <v>35114124</v>
      </c>
      <c r="AN73" s="260">
        <f>AN66+AN62+AN72</f>
        <v>58206615.409999996</v>
      </c>
      <c r="AO73" s="260">
        <f>AO66+AO62+AO67</f>
        <v>11637774</v>
      </c>
      <c r="AP73" s="49">
        <f>IFERROR(AN73/AM73,0)</f>
        <v>1.6576411078915139</v>
      </c>
      <c r="AR73" s="11">
        <v>53920564.299999997</v>
      </c>
      <c r="AT73" s="260">
        <f>AT66+AT62+AT67</f>
        <v>32739738</v>
      </c>
      <c r="AU73" s="260">
        <f>AU66+AU62+AU72</f>
        <v>51794154.32</v>
      </c>
      <c r="AV73" s="260">
        <f>AV66+AV62+AV67</f>
        <v>14340688</v>
      </c>
      <c r="AW73" s="49">
        <f>IFERROR(AU73/AT73,0)</f>
        <v>1.5819966036380622</v>
      </c>
      <c r="AY73" s="11">
        <v>70917631.560000002</v>
      </c>
      <c r="BA73" s="260">
        <f>BA66+BA62+BA67</f>
        <v>38579928</v>
      </c>
      <c r="BB73" s="260">
        <f>BB66+BB62+BB72</f>
        <v>48940029.090000004</v>
      </c>
      <c r="BC73" s="260">
        <f>BC66+BC62+BC67</f>
        <v>1797266</v>
      </c>
      <c r="BD73" s="49">
        <f>IFERROR(BB73/BA73,0)</f>
        <v>1.2685360400361556</v>
      </c>
      <c r="BF73" s="260">
        <v>62099068.299999997</v>
      </c>
      <c r="BH73" s="260">
        <f>BH66+BH62+BH67</f>
        <v>32051037</v>
      </c>
      <c r="BI73" s="260">
        <f>BI66+BI62+BI72</f>
        <v>40655048.890000001</v>
      </c>
      <c r="BJ73" s="260">
        <f>BJ66+BJ62+BJ67</f>
        <v>1325627.3000000007</v>
      </c>
      <c r="BK73" s="49">
        <f>IFERROR(BI73/BH73,0)</f>
        <v>1.2684472234080912</v>
      </c>
      <c r="BM73" s="260">
        <v>88943275.769999996</v>
      </c>
      <c r="BO73" s="260">
        <f>BO66+BO62+BO72</f>
        <v>29954603</v>
      </c>
      <c r="BP73" s="260">
        <f>BP66+BP62+BP72</f>
        <v>33391928.310000002</v>
      </c>
      <c r="BQ73" s="260">
        <f>BQ66+BQ62+BQ72</f>
        <v>3437325.31</v>
      </c>
      <c r="BR73" s="49">
        <f>IFERROR(BP73/BO73,0)</f>
        <v>1.1147511556070364</v>
      </c>
      <c r="BT73" s="260">
        <v>55197994.460000001</v>
      </c>
      <c r="BV73" s="260">
        <f>BV66+BV62+BV72</f>
        <v>29949279</v>
      </c>
      <c r="BW73" s="260">
        <f>BW66+BW62+BW72</f>
        <v>39203653.799999997</v>
      </c>
      <c r="BX73" s="260">
        <f>BX66+BX62+BX67</f>
        <v>7029638</v>
      </c>
      <c r="BY73" s="49">
        <f>IFERROR(BW73/BV73,0)</f>
        <v>1.3090015889864994</v>
      </c>
      <c r="CA73" s="260">
        <v>68283858.879999995</v>
      </c>
      <c r="CC73" s="260">
        <f>CC66+CC62+CC67</f>
        <v>29165201</v>
      </c>
      <c r="CD73" s="11">
        <v>43823800.479999997</v>
      </c>
      <c r="CE73" s="260">
        <f>CE66+CE62+CE67</f>
        <v>9500445</v>
      </c>
      <c r="CF73" s="49">
        <f>IFERROR(CD73/CC73,0)</f>
        <v>1.5026058102599738</v>
      </c>
      <c r="CH73" s="260">
        <v>95899238.569999993</v>
      </c>
      <c r="CJ73" s="278">
        <f t="shared" si="76"/>
        <v>376141790</v>
      </c>
      <c r="CK73" s="260">
        <f t="shared" si="76"/>
        <v>505251941.46000004</v>
      </c>
      <c r="CL73" s="260">
        <f t="shared" si="75"/>
        <v>129110151.46000004</v>
      </c>
      <c r="CM73" s="49">
        <f>IFERROR(CK73/CJ73,0)</f>
        <v>1.3432486229727361</v>
      </c>
      <c r="CO73" s="260">
        <f t="shared" si="77"/>
        <v>644769417.25999999</v>
      </c>
      <c r="CQ73" s="278">
        <f t="shared" si="78"/>
        <v>405306991</v>
      </c>
      <c r="CR73" s="260">
        <f>CR66+CR62+CR72</f>
        <v>549075741.94000006</v>
      </c>
      <c r="CS73" s="260">
        <f>CS66+CS62+CS67</f>
        <v>35905645.530000001</v>
      </c>
      <c r="CT73" s="49">
        <f>IFERROR(CR73/CQ73,0)</f>
        <v>1.354715694849685</v>
      </c>
      <c r="CV73" s="260">
        <v>740668655.82999992</v>
      </c>
    </row>
    <row r="74" spans="1:102" s="26" customFormat="1" ht="16.5" customHeight="1" x14ac:dyDescent="0.3">
      <c r="A74" s="35">
        <v>46</v>
      </c>
      <c r="B74" s="36" t="s">
        <v>65</v>
      </c>
      <c r="D74" s="5">
        <v>0</v>
      </c>
      <c r="E74" s="5">
        <v>0</v>
      </c>
      <c r="F74" s="3">
        <f>E74-D74</f>
        <v>0</v>
      </c>
      <c r="G74" s="37">
        <f t="shared" si="74"/>
        <v>0</v>
      </c>
      <c r="I74" s="5">
        <v>0</v>
      </c>
      <c r="J74" s="218"/>
      <c r="K74" s="42">
        <v>0</v>
      </c>
      <c r="L74" s="5">
        <v>0</v>
      </c>
      <c r="M74" s="5">
        <f>L74-K74</f>
        <v>0</v>
      </c>
      <c r="N74" s="37">
        <f>IFERROR(L74/K74,0)</f>
        <v>0</v>
      </c>
      <c r="P74" s="5">
        <v>0</v>
      </c>
      <c r="R74" s="5">
        <v>0</v>
      </c>
      <c r="S74" s="246">
        <v>0</v>
      </c>
      <c r="T74" s="5">
        <f>S74-R74</f>
        <v>0</v>
      </c>
      <c r="U74" s="37">
        <f>IFERROR(S74/R74,0)</f>
        <v>0</v>
      </c>
      <c r="W74" s="5">
        <v>0</v>
      </c>
      <c r="Y74" s="5">
        <v>0</v>
      </c>
      <c r="Z74" s="5">
        <v>0</v>
      </c>
      <c r="AA74" s="5">
        <v>0</v>
      </c>
      <c r="AB74" s="37"/>
      <c r="AD74" s="5">
        <v>0</v>
      </c>
      <c r="AF74" s="5">
        <v>0</v>
      </c>
      <c r="AG74" s="5">
        <v>0</v>
      </c>
      <c r="AH74" s="5">
        <f>AG74-AF74</f>
        <v>0</v>
      </c>
      <c r="AI74" s="37">
        <f>IFERROR(AG74/AF74,0)</f>
        <v>0</v>
      </c>
      <c r="AK74" s="5">
        <v>0</v>
      </c>
      <c r="AM74" s="5">
        <v>0</v>
      </c>
      <c r="AN74" s="5">
        <v>0</v>
      </c>
      <c r="AO74" s="5">
        <f>AN74-AM74</f>
        <v>0</v>
      </c>
      <c r="AP74" s="37">
        <f>IFERROR(AN74/AM74,0)</f>
        <v>0</v>
      </c>
      <c r="AR74" s="5">
        <v>0</v>
      </c>
      <c r="AT74" s="5">
        <v>0</v>
      </c>
      <c r="AU74" s="5">
        <v>0</v>
      </c>
      <c r="AV74" s="5">
        <f>AU74-AT74</f>
        <v>0</v>
      </c>
      <c r="AW74" s="37">
        <f>IFERROR(AU74/AT74,0)</f>
        <v>0</v>
      </c>
      <c r="AY74" s="5">
        <v>0</v>
      </c>
      <c r="BA74" s="3">
        <v>0</v>
      </c>
      <c r="BB74" s="222">
        <v>0</v>
      </c>
      <c r="BC74" s="222">
        <v>0</v>
      </c>
      <c r="BD74" s="37">
        <f>IFERROR(BB74/BA74,0)</f>
        <v>0</v>
      </c>
      <c r="BF74" s="5">
        <v>0</v>
      </c>
      <c r="BH74" s="3">
        <v>0</v>
      </c>
      <c r="BI74" s="3">
        <v>0</v>
      </c>
      <c r="BJ74" s="222">
        <v>0</v>
      </c>
      <c r="BK74" s="37">
        <f>IFERROR(BI74/BH74,0)</f>
        <v>0</v>
      </c>
      <c r="BM74" s="3">
        <v>0</v>
      </c>
      <c r="BO74" s="3">
        <v>0</v>
      </c>
      <c r="BP74" s="3">
        <v>0</v>
      </c>
      <c r="BQ74" s="3">
        <v>0</v>
      </c>
      <c r="BR74" s="37">
        <f>IFERROR(BP74/BO74,0)</f>
        <v>0</v>
      </c>
      <c r="BT74" s="3">
        <v>0</v>
      </c>
      <c r="BV74" s="3">
        <v>0</v>
      </c>
      <c r="BW74" s="3"/>
      <c r="BX74" s="3">
        <v>0</v>
      </c>
      <c r="BY74" s="37">
        <f>IFERROR(BW74/BV74,0)</f>
        <v>0</v>
      </c>
      <c r="CA74" s="5">
        <v>0</v>
      </c>
      <c r="CC74" s="7">
        <v>0</v>
      </c>
      <c r="CD74" s="7"/>
      <c r="CE74" s="5">
        <f>CD74-CC74</f>
        <v>0</v>
      </c>
      <c r="CF74" s="37">
        <f>IFERROR(CD74/CC74,0)</f>
        <v>0</v>
      </c>
      <c r="CH74" s="5">
        <v>0</v>
      </c>
      <c r="CJ74" s="225">
        <f t="shared" si="76"/>
        <v>0</v>
      </c>
      <c r="CK74" s="3">
        <f t="shared" si="76"/>
        <v>0</v>
      </c>
      <c r="CL74" s="5">
        <f t="shared" si="75"/>
        <v>0</v>
      </c>
      <c r="CM74" s="37">
        <f>IFERROR(CK74/CJ74,0)</f>
        <v>0</v>
      </c>
      <c r="CO74" s="5">
        <f t="shared" si="77"/>
        <v>0</v>
      </c>
      <c r="CQ74" s="225">
        <f t="shared" si="78"/>
        <v>0</v>
      </c>
      <c r="CR74" s="3">
        <f>E74+L74+S74+Z74+AG74+AN74+AU74+BB74+BI74+BP74+BW74</f>
        <v>0</v>
      </c>
      <c r="CS74" s="5">
        <v>0</v>
      </c>
      <c r="CT74" s="37">
        <f>IFERROR(CR74/CQ74,0)</f>
        <v>0</v>
      </c>
      <c r="CV74" s="5">
        <v>0</v>
      </c>
    </row>
    <row r="75" spans="1:102" s="26" customFormat="1" ht="16.5" customHeight="1" x14ac:dyDescent="0.3">
      <c r="A75" s="35">
        <v>47</v>
      </c>
      <c r="B75" s="36" t="s">
        <v>66</v>
      </c>
      <c r="D75" s="3">
        <v>0</v>
      </c>
      <c r="E75" s="3">
        <v>0</v>
      </c>
      <c r="F75" s="3">
        <f>E75-D75</f>
        <v>0</v>
      </c>
      <c r="G75" s="32">
        <f t="shared" si="74"/>
        <v>0</v>
      </c>
      <c r="I75" s="3">
        <v>0</v>
      </c>
      <c r="J75" s="218"/>
      <c r="K75" s="33">
        <v>0</v>
      </c>
      <c r="L75" s="3">
        <v>0</v>
      </c>
      <c r="M75" s="3">
        <v>0</v>
      </c>
      <c r="N75" s="32">
        <f>IFERROR(L75/K75,0)</f>
        <v>0</v>
      </c>
      <c r="P75" s="3">
        <v>0</v>
      </c>
      <c r="R75" s="3">
        <v>0</v>
      </c>
      <c r="S75" s="223">
        <v>0</v>
      </c>
      <c r="T75" s="3">
        <v>0</v>
      </c>
      <c r="U75" s="32">
        <f>IFERROR(S75/R75,0)</f>
        <v>0</v>
      </c>
      <c r="W75" s="3">
        <v>0</v>
      </c>
      <c r="Y75" s="3">
        <v>0</v>
      </c>
      <c r="Z75" s="3">
        <v>0</v>
      </c>
      <c r="AA75" s="3">
        <v>0</v>
      </c>
      <c r="AB75" s="32"/>
      <c r="AD75" s="3">
        <v>0</v>
      </c>
      <c r="AF75" s="3">
        <v>0</v>
      </c>
      <c r="AG75" s="3">
        <v>0</v>
      </c>
      <c r="AH75" s="3">
        <v>0</v>
      </c>
      <c r="AI75" s="32">
        <f>IFERROR(AG75/AF75,0)</f>
        <v>0</v>
      </c>
      <c r="AK75" s="3">
        <v>0</v>
      </c>
      <c r="AM75" s="3">
        <v>0</v>
      </c>
      <c r="AN75" s="3">
        <v>0</v>
      </c>
      <c r="AO75" s="3">
        <v>0</v>
      </c>
      <c r="AP75" s="32">
        <f>IFERROR(AN75/AM75,0)</f>
        <v>0</v>
      </c>
      <c r="AR75" s="3">
        <v>0</v>
      </c>
      <c r="AT75" s="3">
        <v>0</v>
      </c>
      <c r="AU75" s="3">
        <v>0</v>
      </c>
      <c r="AV75" s="3">
        <v>0</v>
      </c>
      <c r="AW75" s="32">
        <f>IFERROR(AU75/AT75,0)</f>
        <v>0</v>
      </c>
      <c r="AY75" s="3">
        <v>0</v>
      </c>
      <c r="BA75" s="3">
        <v>0</v>
      </c>
      <c r="BB75" s="222">
        <v>0</v>
      </c>
      <c r="BC75" s="222">
        <v>0</v>
      </c>
      <c r="BD75" s="32">
        <f>IFERROR(BB75/BA75,0)</f>
        <v>0</v>
      </c>
      <c r="BF75" s="3">
        <v>0</v>
      </c>
      <c r="BH75" s="3">
        <v>0</v>
      </c>
      <c r="BI75" s="3">
        <v>0</v>
      </c>
      <c r="BJ75" s="222">
        <v>0</v>
      </c>
      <c r="BK75" s="32">
        <f>IFERROR(BI75/BH75,0)</f>
        <v>0</v>
      </c>
      <c r="BM75" s="3">
        <v>0</v>
      </c>
      <c r="BO75" s="3">
        <v>0</v>
      </c>
      <c r="BP75" s="3">
        <v>0</v>
      </c>
      <c r="BQ75" s="3">
        <v>0</v>
      </c>
      <c r="BR75" s="32">
        <f>IFERROR(BP75/BO75,0)</f>
        <v>0</v>
      </c>
      <c r="BT75" s="3">
        <v>0</v>
      </c>
      <c r="BV75" s="3">
        <v>0</v>
      </c>
      <c r="BW75" s="3"/>
      <c r="BX75" s="3">
        <v>0</v>
      </c>
      <c r="BY75" s="32">
        <f>IFERROR(BW75/BV75,0)</f>
        <v>0</v>
      </c>
      <c r="CA75" s="3">
        <v>0</v>
      </c>
      <c r="CC75" s="7">
        <v>0</v>
      </c>
      <c r="CD75" s="7"/>
      <c r="CE75" s="3">
        <v>0</v>
      </c>
      <c r="CF75" s="32">
        <f>IFERROR(CD75/CC75,0)</f>
        <v>0</v>
      </c>
      <c r="CH75" s="3">
        <v>0</v>
      </c>
      <c r="CJ75" s="225">
        <f t="shared" si="76"/>
        <v>0</v>
      </c>
      <c r="CK75" s="3">
        <f t="shared" si="76"/>
        <v>0</v>
      </c>
      <c r="CL75" s="3">
        <f t="shared" si="75"/>
        <v>0</v>
      </c>
      <c r="CM75" s="32">
        <f>IFERROR(CK75/CJ75,0)</f>
        <v>0</v>
      </c>
      <c r="CO75" s="3">
        <f t="shared" si="77"/>
        <v>0</v>
      </c>
      <c r="CQ75" s="225">
        <f t="shared" si="78"/>
        <v>0</v>
      </c>
      <c r="CR75" s="3">
        <f>E75+L75+S75+Z75+AG75+AN75+AU75+BB75+BI75+BP75+BW75</f>
        <v>0</v>
      </c>
      <c r="CS75" s="3">
        <v>0</v>
      </c>
      <c r="CT75" s="32">
        <f>IFERROR(CR75/CQ75,0)</f>
        <v>0</v>
      </c>
      <c r="CV75" s="3">
        <v>0</v>
      </c>
    </row>
    <row r="76" spans="1:102" s="31" customFormat="1" ht="16.5" customHeight="1" x14ac:dyDescent="0.3">
      <c r="A76" s="47"/>
      <c r="B76" s="48" t="s">
        <v>67</v>
      </c>
      <c r="D76" s="54">
        <f>+D73+D50</f>
        <v>203729860</v>
      </c>
      <c r="E76" s="54">
        <f>+E73+E50</f>
        <v>251422651.03</v>
      </c>
      <c r="F76" s="54">
        <f>+F73+F50</f>
        <v>47692791.030000001</v>
      </c>
      <c r="G76" s="49">
        <f t="shared" si="74"/>
        <v>1.2340981878159638</v>
      </c>
      <c r="I76" s="54">
        <v>208482842.18000001</v>
      </c>
      <c r="J76" s="221"/>
      <c r="K76" s="54">
        <f>+K73+K50</f>
        <v>88250326</v>
      </c>
      <c r="L76" s="279">
        <f>+L73+L50</f>
        <v>95909638.480000004</v>
      </c>
      <c r="M76" s="54">
        <f>+M73+M50</f>
        <v>7659312.4800000023</v>
      </c>
      <c r="N76" s="49">
        <f>IFERROR(L76/K76,0)</f>
        <v>1.0867907556511462</v>
      </c>
      <c r="P76" s="54">
        <v>125043723.87</v>
      </c>
      <c r="R76" s="54">
        <f>+R73+R50</f>
        <v>83510924</v>
      </c>
      <c r="S76" s="279">
        <f>+S73+S50</f>
        <v>115203679.91</v>
      </c>
      <c r="T76" s="54">
        <f>+T73+T50</f>
        <v>31692755.91</v>
      </c>
      <c r="U76" s="49">
        <f>IFERROR(S76/R76,0)</f>
        <v>1.3795043138308467</v>
      </c>
      <c r="W76" s="54">
        <v>99365165.329999998</v>
      </c>
      <c r="Y76" s="54">
        <f>+Y73+Y50</f>
        <v>93367168</v>
      </c>
      <c r="Z76" s="279">
        <f>+Z73+Z50</f>
        <v>110025285.56</v>
      </c>
      <c r="AA76" s="54">
        <f>+AA73+AA50</f>
        <v>16658117.559999999</v>
      </c>
      <c r="AB76" s="49">
        <f>IFERROR(Z76/Y76,0)</f>
        <v>1.1784151529582647</v>
      </c>
      <c r="AD76" s="54">
        <v>117215824.31</v>
      </c>
      <c r="AF76" s="54">
        <f>+AF73+AF50</f>
        <v>92701973</v>
      </c>
      <c r="AG76" s="54">
        <f>+AG73+AG50</f>
        <v>122615646.62999998</v>
      </c>
      <c r="AH76" s="54">
        <f>+AH73+AH50</f>
        <v>29913673.629999984</v>
      </c>
      <c r="AI76" s="49">
        <f>IFERROR(AG76/AF76,0)</f>
        <v>1.3226864829511231</v>
      </c>
      <c r="AK76" s="54">
        <v>113675596.69999999</v>
      </c>
      <c r="AM76" s="54">
        <f>+AM73+AM50</f>
        <v>64033686</v>
      </c>
      <c r="AN76" s="279">
        <f>+AN73+AN50</f>
        <v>105916512.97</v>
      </c>
      <c r="AO76" s="54">
        <f>+AO73+AO50</f>
        <v>30428109.560000002</v>
      </c>
      <c r="AP76" s="49">
        <f>IFERROR(AN76/AM76,0)</f>
        <v>1.6540749031689352</v>
      </c>
      <c r="AR76" s="54">
        <v>104913577.06</v>
      </c>
      <c r="AT76" s="54">
        <f>+AT73+AT50</f>
        <v>78709723</v>
      </c>
      <c r="AU76" s="54">
        <f>+AU73+AU50</f>
        <v>104362619.7</v>
      </c>
      <c r="AV76" s="54">
        <f>+AV73+AV50</f>
        <v>20939168.380000003</v>
      </c>
      <c r="AW76" s="49">
        <f>IFERROR(AU76/AT76,0)</f>
        <v>1.3259177611386079</v>
      </c>
      <c r="AY76" s="54">
        <v>124703997.36</v>
      </c>
      <c r="BA76" s="54">
        <f>+BA73+BA50</f>
        <v>90292665</v>
      </c>
      <c r="BB76" s="279">
        <f>+BB73+BB50</f>
        <v>111125950.93000001</v>
      </c>
      <c r="BC76" s="279">
        <f>+BC73+BC50</f>
        <v>12270450.839999996</v>
      </c>
      <c r="BD76" s="49">
        <f>IFERROR(BB76/BA76,0)</f>
        <v>1.2307306571358816</v>
      </c>
      <c r="BF76" s="54">
        <v>118074302.09999999</v>
      </c>
      <c r="BH76" s="54">
        <f>+BH73+BH50</f>
        <v>48694332</v>
      </c>
      <c r="BI76" s="54">
        <f>+BI73+BI50</f>
        <v>80039882.430000007</v>
      </c>
      <c r="BJ76" s="54">
        <f>+BJ73+BJ50</f>
        <v>24067165.84</v>
      </c>
      <c r="BK76" s="49">
        <f>IFERROR(BI76/BH76,0)</f>
        <v>1.6437207194874346</v>
      </c>
      <c r="BM76" s="54">
        <v>138624634.84999999</v>
      </c>
      <c r="BO76" s="54">
        <f>+BO73+BO50</f>
        <v>98570293</v>
      </c>
      <c r="BP76" s="54">
        <f>+BP73+BP50</f>
        <v>119653965.34999999</v>
      </c>
      <c r="BQ76" s="54">
        <f>+BQ73+BQ50</f>
        <v>21083672.34999999</v>
      </c>
      <c r="BR76" s="49">
        <f>IFERROR(BP76/BO76,0)</f>
        <v>1.2138947923184118</v>
      </c>
      <c r="BT76" s="54">
        <v>122160161.52000001</v>
      </c>
      <c r="BV76" s="54">
        <f>+BV73+BV50</f>
        <v>81608977</v>
      </c>
      <c r="BW76" s="54">
        <f>+BW73+BW50</f>
        <v>106050609.16</v>
      </c>
      <c r="BX76" s="54">
        <f>+BX73+BX50</f>
        <v>22216895.359999999</v>
      </c>
      <c r="BY76" s="49">
        <f>IFERROR(BW76/BV76,0)</f>
        <v>1.2994968575577168</v>
      </c>
      <c r="CA76" s="54">
        <v>120394910.67999999</v>
      </c>
      <c r="CC76" s="54">
        <f>+CC73+CC50</f>
        <v>79516731</v>
      </c>
      <c r="CD76" s="54">
        <f>+CD73+CD50</f>
        <v>101165561.09</v>
      </c>
      <c r="CE76" s="54">
        <f>+CE73+CE50</f>
        <v>16490675.609999999</v>
      </c>
      <c r="CF76" s="49">
        <f>IFERROR(CD76/CC76,0)</f>
        <v>1.2722550313342234</v>
      </c>
      <c r="CH76" s="54">
        <v>173664656.82999998</v>
      </c>
      <c r="CJ76" s="281">
        <f t="shared" si="76"/>
        <v>1023469927</v>
      </c>
      <c r="CK76" s="54">
        <f t="shared" si="76"/>
        <v>1322326442.1500001</v>
      </c>
      <c r="CL76" s="54">
        <f t="shared" si="75"/>
        <v>298856515.1500001</v>
      </c>
      <c r="CM76" s="49">
        <f>IFERROR(CK76/CJ76,0)</f>
        <v>1.2920032208723609</v>
      </c>
      <c r="CO76" s="54">
        <f t="shared" si="77"/>
        <v>1392654735.96</v>
      </c>
      <c r="CQ76" s="281">
        <f t="shared" si="78"/>
        <v>1102986658</v>
      </c>
      <c r="CR76" s="54">
        <f>+CR73+CR50</f>
        <v>1423492003.24</v>
      </c>
      <c r="CS76" s="54">
        <f>+CS73+CS50</f>
        <v>212642239.82999995</v>
      </c>
      <c r="CT76" s="49">
        <f>IFERROR(CR76/CQ76,0)</f>
        <v>1.2905795305096066</v>
      </c>
      <c r="CV76" s="54">
        <v>1566319392.79</v>
      </c>
    </row>
    <row r="77" spans="1:102" x14ac:dyDescent="0.3">
      <c r="D77" s="282"/>
      <c r="E77" s="283"/>
      <c r="F77" s="214"/>
      <c r="G77" s="214"/>
      <c r="H77" s="214"/>
      <c r="I77" s="283"/>
      <c r="K77" s="214"/>
      <c r="L77" s="284"/>
      <c r="M77" s="283"/>
      <c r="N77" s="214"/>
      <c r="O77" s="214"/>
      <c r="P77" s="283"/>
      <c r="R77" s="214"/>
      <c r="S77" s="214"/>
      <c r="T77" s="214"/>
      <c r="U77" s="214"/>
      <c r="V77" s="214"/>
      <c r="W77" s="214"/>
      <c r="Y77" s="214"/>
      <c r="Z77" s="214"/>
      <c r="AA77" s="214"/>
      <c r="AB77" s="214"/>
      <c r="AC77" s="214"/>
      <c r="AD77" s="214"/>
      <c r="AF77" s="214"/>
      <c r="AG77" s="214"/>
      <c r="AH77" s="214"/>
      <c r="AI77" s="214"/>
      <c r="AJ77" s="214"/>
      <c r="AK77" s="214"/>
      <c r="AM77" s="214"/>
      <c r="AN77" s="214"/>
      <c r="AO77" s="214"/>
      <c r="AP77" s="214"/>
      <c r="AQ77" s="214"/>
      <c r="AR77" s="214"/>
      <c r="AT77" s="214"/>
      <c r="AU77" s="282"/>
      <c r="AV77" s="282"/>
      <c r="AW77" s="214"/>
      <c r="AX77" s="214"/>
      <c r="AY77" s="214"/>
      <c r="BA77" s="214"/>
      <c r="BB77" s="214"/>
      <c r="BC77" s="214"/>
      <c r="BD77" s="214"/>
      <c r="BE77" s="214"/>
      <c r="BF77" s="318"/>
      <c r="BH77" s="214"/>
      <c r="BI77" s="214"/>
      <c r="BJ77" s="214"/>
      <c r="BM77" s="214"/>
      <c r="CJ77" s="58"/>
      <c r="CK77" s="58"/>
      <c r="CQ77" s="58"/>
      <c r="CR77" s="58"/>
    </row>
    <row r="78" spans="1:102" ht="12.75" hidden="1" customHeight="1" x14ac:dyDescent="0.3">
      <c r="D78" s="59">
        <v>0.36</v>
      </c>
      <c r="E78" s="59">
        <v>0.36</v>
      </c>
      <c r="F78" s="59">
        <v>0.36</v>
      </c>
      <c r="G78" s="59">
        <v>0.36</v>
      </c>
      <c r="I78" s="59">
        <v>0.34</v>
      </c>
      <c r="K78" s="59"/>
      <c r="M78" s="59"/>
      <c r="N78" s="59"/>
      <c r="P78" s="59">
        <v>0.34</v>
      </c>
      <c r="R78" s="59">
        <v>0.38</v>
      </c>
      <c r="S78" s="285"/>
      <c r="T78" s="59"/>
      <c r="U78" s="59"/>
      <c r="W78" s="59">
        <v>0.34</v>
      </c>
      <c r="Y78" s="59">
        <v>0.36</v>
      </c>
      <c r="AA78" s="59"/>
      <c r="AB78" s="59"/>
      <c r="AD78" s="59">
        <v>0.34</v>
      </c>
      <c r="AF78" s="59">
        <v>0.35</v>
      </c>
      <c r="AH78" s="59"/>
      <c r="AI78" s="59"/>
      <c r="AK78" s="59">
        <v>0.34</v>
      </c>
      <c r="AM78" s="59">
        <v>0.32</v>
      </c>
      <c r="AO78" s="59"/>
      <c r="AP78" s="59"/>
      <c r="AR78" s="59">
        <v>0.34</v>
      </c>
      <c r="AT78" s="59">
        <v>0.38</v>
      </c>
      <c r="AV78" s="59"/>
      <c r="AW78" s="59"/>
      <c r="AY78" s="59">
        <v>0.34</v>
      </c>
      <c r="BA78" s="59">
        <v>0.35</v>
      </c>
      <c r="BD78" s="59"/>
      <c r="BF78" s="59">
        <v>0.34</v>
      </c>
      <c r="BH78" s="59">
        <v>0.37</v>
      </c>
      <c r="BK78" s="59"/>
      <c r="BM78" s="59">
        <v>0.34</v>
      </c>
      <c r="BO78" s="59">
        <v>0.38</v>
      </c>
      <c r="BP78" s="59"/>
      <c r="BQ78" s="59"/>
      <c r="BR78" s="59"/>
      <c r="BT78" s="59">
        <v>0.34</v>
      </c>
      <c r="BV78" s="59">
        <v>0.34</v>
      </c>
      <c r="BW78" s="59"/>
      <c r="BX78" s="59"/>
      <c r="BY78" s="59"/>
      <c r="CA78" s="59">
        <v>0.34</v>
      </c>
      <c r="CC78" s="59">
        <v>0.37</v>
      </c>
      <c r="CD78" s="59"/>
      <c r="CE78" s="59"/>
      <c r="CF78" s="59"/>
      <c r="CH78" s="59">
        <v>0.34</v>
      </c>
      <c r="CK78" s="59"/>
      <c r="CL78" s="59"/>
      <c r="CM78" s="59"/>
      <c r="CO78" s="59">
        <v>0.34</v>
      </c>
      <c r="CR78" s="59"/>
      <c r="CS78" s="59"/>
      <c r="CT78" s="59"/>
      <c r="CV78" s="59">
        <v>0.34</v>
      </c>
    </row>
    <row r="79" spans="1:102" s="31" customFormat="1" ht="16.5" hidden="1" customHeight="1" x14ac:dyDescent="0.3">
      <c r="A79" s="47"/>
      <c r="B79" s="48" t="s">
        <v>68</v>
      </c>
      <c r="D79" s="56">
        <f>D78*D50</f>
        <v>61568407.079999998</v>
      </c>
      <c r="E79" s="56">
        <f>E78*E50</f>
        <v>74144526.850799993</v>
      </c>
      <c r="F79" s="56">
        <f>F78*F50</f>
        <v>12576119.7708</v>
      </c>
      <c r="G79" s="56">
        <f>G78*G50</f>
        <v>0.433534517656194</v>
      </c>
      <c r="I79" s="11">
        <f>I78*I50</f>
        <v>58859566.449400015</v>
      </c>
      <c r="J79" s="221"/>
      <c r="K79" s="11"/>
      <c r="L79" s="286"/>
      <c r="M79" s="61"/>
      <c r="N79" s="61"/>
      <c r="P79" s="11">
        <f>P78*P50</f>
        <v>21397095.247199997</v>
      </c>
      <c r="R79" s="11">
        <f>R78*R50</f>
        <v>19148268.02</v>
      </c>
      <c r="S79" s="287"/>
      <c r="T79" s="61"/>
      <c r="U79" s="61"/>
      <c r="W79" s="11">
        <f>W78*W50</f>
        <v>19646696.153000001</v>
      </c>
      <c r="Y79" s="11">
        <f>Y78*Y50</f>
        <v>20805780.599999998</v>
      </c>
      <c r="Z79" s="286"/>
      <c r="AA79" s="61"/>
      <c r="AB79" s="61"/>
      <c r="AD79" s="11">
        <f>AD78*AD50</f>
        <v>22679721.5152</v>
      </c>
      <c r="AF79" s="11">
        <f>AF78*AF50</f>
        <v>19542079.199999999</v>
      </c>
      <c r="AG79" s="288"/>
      <c r="AH79" s="61"/>
      <c r="AI79" s="61"/>
      <c r="AK79" s="11">
        <f>AK78*AK50</f>
        <v>19664804.291200001</v>
      </c>
      <c r="AM79" s="11">
        <f>AM78*AM50</f>
        <v>9254259.8399999999</v>
      </c>
      <c r="AN79" s="286"/>
      <c r="AO79" s="61"/>
      <c r="AP79" s="61"/>
      <c r="AR79" s="11">
        <f>AR78*AR50</f>
        <v>17337624.338399999</v>
      </c>
      <c r="AT79" s="11">
        <f>AT78*AT50</f>
        <v>17468594.300000001</v>
      </c>
      <c r="AU79" s="288"/>
      <c r="AV79" s="61"/>
      <c r="AW79" s="61"/>
      <c r="AY79" s="11">
        <f>AY78*AY50</f>
        <v>18287364.372000001</v>
      </c>
      <c r="BA79" s="11">
        <f>BA78*BA50</f>
        <v>18099457.949999999</v>
      </c>
      <c r="BB79" s="286"/>
      <c r="BC79" s="286"/>
      <c r="BD79" s="61"/>
      <c r="BF79" s="11">
        <f>BF78*BF50</f>
        <v>19031579.492000002</v>
      </c>
      <c r="BH79" s="11">
        <f>BH78*BH50</f>
        <v>6158019.1500000004</v>
      </c>
      <c r="BI79" s="286"/>
      <c r="BJ79" s="286"/>
      <c r="BK79" s="61"/>
      <c r="BM79" s="11">
        <f>BM78*BM50</f>
        <v>16891662.087200001</v>
      </c>
      <c r="BO79" s="11">
        <f>BO78*BO50</f>
        <v>26073962.199999999</v>
      </c>
      <c r="BP79" s="61"/>
      <c r="BQ79" s="61"/>
      <c r="BR79" s="61"/>
      <c r="BT79" s="11">
        <f>BT78*BT50</f>
        <v>22767136.800400004</v>
      </c>
      <c r="BV79" s="11">
        <f>BV78*BV50</f>
        <v>17564297.32</v>
      </c>
      <c r="BW79" s="61"/>
      <c r="BX79" s="61"/>
      <c r="BY79" s="61"/>
      <c r="CA79" s="11">
        <f>CA78*CA50</f>
        <v>17717757.612</v>
      </c>
      <c r="CC79" s="11">
        <f>CC78*CC50</f>
        <v>18630066.100000001</v>
      </c>
      <c r="CD79" s="61"/>
      <c r="CE79" s="61"/>
      <c r="CF79" s="61"/>
      <c r="CH79" s="11">
        <f>CH78*CH50</f>
        <v>26440242.2084</v>
      </c>
      <c r="CJ79" s="50" t="e">
        <f>SUM(#REF!)</f>
        <v>#REF!</v>
      </c>
      <c r="CK79" s="61"/>
      <c r="CL79" s="61"/>
      <c r="CM79" s="61"/>
      <c r="CO79" s="11">
        <f>CO78*CO50</f>
        <v>254281008.35800004</v>
      </c>
      <c r="CQ79" s="50" t="e">
        <f>SUM(#REF!)</f>
        <v>#REF!</v>
      </c>
      <c r="CR79" s="61"/>
      <c r="CS79" s="61"/>
      <c r="CT79" s="61"/>
      <c r="CV79" s="11">
        <f>CV78*CV50</f>
        <v>280721250.56640005</v>
      </c>
    </row>
    <row r="80" spans="1:102" ht="12.75" hidden="1" customHeight="1" x14ac:dyDescent="0.3">
      <c r="S80" s="285"/>
    </row>
    <row r="81" spans="1:100" s="64" customFormat="1" ht="12.75" hidden="1" customHeight="1" x14ac:dyDescent="0.3">
      <c r="A81" s="63"/>
      <c r="D81" s="64">
        <v>121332418.16999999</v>
      </c>
      <c r="E81" s="64">
        <v>121332418.16999999</v>
      </c>
      <c r="F81" s="64">
        <v>121332418.16999999</v>
      </c>
      <c r="G81" s="64">
        <v>121332418.16999999</v>
      </c>
      <c r="J81" s="289"/>
      <c r="L81" s="290"/>
      <c r="S81" s="291"/>
      <c r="Z81" s="290"/>
      <c r="AG81" s="292"/>
      <c r="AN81" s="290"/>
      <c r="AU81" s="292"/>
      <c r="BB81" s="290"/>
      <c r="BC81" s="290"/>
      <c r="BI81" s="290"/>
      <c r="BJ81" s="290"/>
    </row>
    <row r="82" spans="1:100" s="31" customFormat="1" ht="16.5" hidden="1" customHeight="1" x14ac:dyDescent="0.3">
      <c r="A82" s="47"/>
      <c r="B82" s="48" t="s">
        <v>69</v>
      </c>
      <c r="D82" s="11">
        <f>D81-D50</f>
        <v>-49690934.830000013</v>
      </c>
      <c r="E82" s="11">
        <f>E81-E50</f>
        <v>-84624600.860000014</v>
      </c>
      <c r="F82" s="11">
        <f>F81-F50</f>
        <v>86398752.139999986</v>
      </c>
      <c r="G82" s="11">
        <f>G81-G50</f>
        <v>121332416.96573743</v>
      </c>
      <c r="I82" s="11">
        <f>+I55+I78+I79+I80</f>
        <v>59820355.789400019</v>
      </c>
      <c r="J82" s="221"/>
      <c r="K82" s="11"/>
      <c r="L82" s="286"/>
      <c r="M82" s="61"/>
      <c r="N82" s="61"/>
      <c r="P82" s="11">
        <f>+P55+P78+P79+P80</f>
        <v>21925111.587199997</v>
      </c>
      <c r="R82" s="11">
        <f>+R55+R78+R79+R80</f>
        <v>20466509.399999999</v>
      </c>
      <c r="S82" s="287"/>
      <c r="T82" s="61"/>
      <c r="U82" s="61"/>
      <c r="W82" s="11">
        <f>+W55+W78+W79+W80</f>
        <v>20932524.493000001</v>
      </c>
      <c r="Y82" s="11">
        <f>+Y55+Y78+Y79+Y80</f>
        <v>22281706.959999997</v>
      </c>
      <c r="Z82" s="286"/>
      <c r="AA82" s="61"/>
      <c r="AB82" s="61"/>
      <c r="AD82" s="11">
        <f>+AD55+AD78+AD79+AD80</f>
        <v>24130713.8552</v>
      </c>
      <c r="AF82" s="11">
        <f>+AF55+AF78+AF79+AF80</f>
        <v>20101333.550000001</v>
      </c>
      <c r="AG82" s="288"/>
      <c r="AH82" s="61"/>
      <c r="AI82" s="61"/>
      <c r="AK82" s="11">
        <f>+AK55+AK78+AK79+AK80</f>
        <v>20192820.631200001</v>
      </c>
      <c r="AM82" s="11">
        <f>+AM55+AM78+AM79+AM80</f>
        <v>9813514.1600000001</v>
      </c>
      <c r="AN82" s="286"/>
      <c r="AO82" s="61"/>
      <c r="AP82" s="61"/>
      <c r="AR82" s="11">
        <f>+AR55+AR78+AR79+AR80</f>
        <v>17865640.678399999</v>
      </c>
      <c r="AT82" s="11">
        <f>+AT55+AT78+AT79+AT80</f>
        <v>18975005.68</v>
      </c>
      <c r="AU82" s="288"/>
      <c r="AV82" s="61"/>
      <c r="AW82" s="61"/>
      <c r="AY82" s="11">
        <f>+AY55+AY78+AY79+AY80</f>
        <v>19768955.712000001</v>
      </c>
      <c r="BA82" s="11">
        <f>+BA55+BA78+BA79+BA80</f>
        <v>18659763.300000001</v>
      </c>
      <c r="BB82" s="286"/>
      <c r="BC82" s="286"/>
      <c r="BD82" s="61"/>
      <c r="BF82" s="11">
        <f>+BF55+BF78+BF79+BF80</f>
        <v>19595823.832000002</v>
      </c>
      <c r="BH82" s="11">
        <f>+BH55+BH78+BH79+BH80</f>
        <v>6718324.5200000005</v>
      </c>
      <c r="BI82" s="286"/>
      <c r="BJ82" s="286"/>
      <c r="BK82" s="61"/>
      <c r="BM82" s="11">
        <f>+BM55+BM78+BM79+BM80</f>
        <v>17455906.427200001</v>
      </c>
      <c r="BO82" s="11">
        <f>+BO55+BO78+BO79+BO80</f>
        <v>27413228.579999998</v>
      </c>
      <c r="BP82" s="61"/>
      <c r="BQ82" s="61"/>
      <c r="BR82" s="61"/>
      <c r="BT82" s="11">
        <f>+BT55+BT78+BT79+BT80</f>
        <v>24117132.140400004</v>
      </c>
      <c r="BV82" s="11">
        <f>+BV55+BV78+BV79+BV80</f>
        <v>18124602.66</v>
      </c>
      <c r="BW82" s="61"/>
      <c r="BX82" s="61"/>
      <c r="BY82" s="61"/>
      <c r="CA82" s="11">
        <f>+CA55+CA78+CA79+CA80</f>
        <v>18282001.952</v>
      </c>
      <c r="CC82" s="11">
        <f>+CC55+CC78+CC79+CC80</f>
        <v>19190372.470000003</v>
      </c>
      <c r="CD82" s="61"/>
      <c r="CE82" s="61"/>
      <c r="CF82" s="61"/>
      <c r="CH82" s="11">
        <f>+CH55+CH78+CH79+CH80</f>
        <v>27004486.5484</v>
      </c>
      <c r="CJ82" s="50" t="e">
        <f>SUM(#REF!)</f>
        <v>#REF!</v>
      </c>
      <c r="CK82" s="61"/>
      <c r="CL82" s="61"/>
      <c r="CM82" s="61"/>
      <c r="CO82" s="11">
        <f>+CO55+CO78+CO79+CO80</f>
        <v>264086983.69800004</v>
      </c>
      <c r="CQ82" s="50" t="e">
        <f>SUM(#REF!)</f>
        <v>#REF!</v>
      </c>
      <c r="CR82" s="61"/>
      <c r="CS82" s="61"/>
      <c r="CT82" s="61"/>
      <c r="CV82" s="11">
        <f>+CV55+CV78+CV79+CV80</f>
        <v>291091469.90640002</v>
      </c>
    </row>
    <row r="83" spans="1:100" ht="12.75" hidden="1" customHeight="1" x14ac:dyDescent="0.3">
      <c r="D83" s="66">
        <f>D81/D50-1</f>
        <v>-0.29055058246928422</v>
      </c>
      <c r="E83" s="66">
        <f>E81/E50-1</f>
        <v>-0.41088476255171213</v>
      </c>
      <c r="F83" s="66">
        <f>F81/F50-1</f>
        <v>2.4732231671821472</v>
      </c>
      <c r="G83" s="66">
        <f>G81/G50-1</f>
        <v>100752462.21179734</v>
      </c>
      <c r="S83" s="285"/>
    </row>
    <row r="84" spans="1:100" x14ac:dyDescent="0.3">
      <c r="D84" s="58"/>
      <c r="E84" s="319">
        <f>(E76-D76)/D76</f>
        <v>0.23409818781596375</v>
      </c>
      <c r="L84" s="319">
        <f>(L76-K76)/K76</f>
        <v>8.6790755651146315E-2</v>
      </c>
      <c r="P84" s="293"/>
      <c r="Q84" s="293"/>
      <c r="R84" s="58"/>
      <c r="S84" s="319">
        <f>(S76-R76)/R76</f>
        <v>0.37950431383084682</v>
      </c>
      <c r="T84" s="293"/>
      <c r="U84" s="293"/>
      <c r="V84" s="293"/>
      <c r="W84" s="293"/>
      <c r="X84" s="293"/>
      <c r="Y84" s="293"/>
      <c r="Z84" s="319">
        <f>(Z76-Y76)/Y76</f>
        <v>0.17841515295826477</v>
      </c>
      <c r="AA84" s="293"/>
      <c r="AB84" s="293"/>
      <c r="AC84" s="293"/>
      <c r="AD84" s="293"/>
      <c r="AE84" s="293"/>
      <c r="AF84" s="293"/>
      <c r="AG84" s="319">
        <f>(AG76-AF76)/AF76</f>
        <v>0.32268648295112318</v>
      </c>
      <c r="AK84" s="293"/>
      <c r="AN84" s="319">
        <f>(AN76-AM76)/AM76</f>
        <v>0.65407490316893513</v>
      </c>
      <c r="AR84" s="293"/>
      <c r="AT84" s="297"/>
      <c r="AU84" s="320">
        <f>(AU76-AT76)/AT76</f>
        <v>0.32591776113860804</v>
      </c>
      <c r="AY84" s="293"/>
      <c r="BA84" s="69"/>
      <c r="BB84" s="319">
        <f>(BB76-BA76)/BA76</f>
        <v>0.23073065713588151</v>
      </c>
      <c r="BC84" s="69"/>
      <c r="BP84" s="69"/>
      <c r="BV84" s="69"/>
      <c r="BW84" s="69"/>
      <c r="CD84" s="69"/>
      <c r="CJ84" s="299"/>
      <c r="CK84" s="300"/>
      <c r="CQ84" s="299"/>
      <c r="CR84" s="300"/>
    </row>
    <row r="85" spans="1:100" x14ac:dyDescent="0.3">
      <c r="AF85" s="69"/>
      <c r="AG85" s="69"/>
      <c r="AH85" s="302"/>
      <c r="AO85" s="200"/>
      <c r="CJ85" s="21"/>
      <c r="CK85" s="200"/>
      <c r="CQ85" s="21"/>
      <c r="CR85" s="200"/>
    </row>
    <row r="86" spans="1:100" x14ac:dyDescent="0.3">
      <c r="AM86" s="58"/>
    </row>
    <row r="87" spans="1:100" x14ac:dyDescent="0.3">
      <c r="E87" s="69"/>
      <c r="F87" s="69"/>
      <c r="G87" s="69"/>
      <c r="BI87" s="58"/>
    </row>
    <row r="88" spans="1:100" x14ac:dyDescent="0.3">
      <c r="F88" s="69"/>
    </row>
    <row r="89" spans="1:100" x14ac:dyDescent="0.3">
      <c r="F89" s="69"/>
    </row>
    <row r="90" spans="1:100" x14ac:dyDescent="0.3">
      <c r="F90" s="69"/>
    </row>
    <row r="91" spans="1:100" x14ac:dyDescent="0.3">
      <c r="F91" s="69"/>
    </row>
  </sheetData>
  <mergeCells count="30">
    <mergeCell ref="CV1:CV2"/>
    <mergeCell ref="BH1:BK1"/>
    <mergeCell ref="BM1:BM2"/>
    <mergeCell ref="BO1:BR1"/>
    <mergeCell ref="BT1:BT2"/>
    <mergeCell ref="BV1:BY1"/>
    <mergeCell ref="CA1:CA2"/>
    <mergeCell ref="CC1:CF1"/>
    <mergeCell ref="CH1:CH2"/>
    <mergeCell ref="CJ1:CM1"/>
    <mergeCell ref="CO1:CO2"/>
    <mergeCell ref="CQ1:CT1"/>
    <mergeCell ref="BF1:BF2"/>
    <mergeCell ref="R1:U1"/>
    <mergeCell ref="W1:W2"/>
    <mergeCell ref="Y1:AB1"/>
    <mergeCell ref="AD1:AD2"/>
    <mergeCell ref="AF1:AI1"/>
    <mergeCell ref="AK1:AK2"/>
    <mergeCell ref="AM1:AP1"/>
    <mergeCell ref="AR1:AR2"/>
    <mergeCell ref="AT1:AW1"/>
    <mergeCell ref="AY1:AY2"/>
    <mergeCell ref="BA1:BD1"/>
    <mergeCell ref="P1:P2"/>
    <mergeCell ref="A1:A2"/>
    <mergeCell ref="B1:B2"/>
    <mergeCell ref="D1:G1"/>
    <mergeCell ref="I1:I2"/>
    <mergeCell ref="K1:N1"/>
  </mergeCells>
  <conditionalFormatting sqref="AA52:AA61 AA74:AA75 AO74:AO75 AV74:AV75 BC74:BC75 AH74:AH75 AA19:AA21 AH19:AH21 AV19:AV21 BC19 AA23:AA24 AH23:AH24 AV23:AV24 AA26:AA33 AH26:AH33 AO26:AO33 AV26:AV33 BC26:BC27 AA40:AA44 AH40:AH44 AO40:AO44 AV40:AV44 BC40:BC44 AA46 AH46 AO46 AV46 BC46 AA48 AH48 AV48 BC48 AH51:AH61 AO51:AO61 AV51:AV61 BC51:BC59 AA63:AA65 AH63:AH65 AO63:AO65 AV63:AV65 BC63:BC65 AA67:AA71 AO67:AO71 AV67:AV71 AH67:AH71 AA4:AA17 AH4:AH17 AO4:AO17 AV4:AV17 BC4:BC17 BC67:BC71 AO19 AO23:AO24 BC23:BC24 AO48 BC29:BC33 BC61 BJ4:BJ33 BJ48:BJ72 BJ74:BJ75 BJ77:BJ752 BJ35:BJ46 BC35:BC38 AV35:AV38 AO35:AO38 AH35:AH38 AA35:AA38">
    <cfRule type="cellIs" dxfId="10" priority="9" operator="lessThan">
      <formula>0</formula>
    </cfRule>
  </conditionalFormatting>
  <conditionalFormatting sqref="T74:T75 T19:T21 T23:T24 T26:T33 T40:T44 T46 T48 T63:T65 T67:T71 T51:T61 T4:T17 T35:T38">
    <cfRule type="cellIs" dxfId="9" priority="8" operator="lessThan">
      <formula>0</formula>
    </cfRule>
  </conditionalFormatting>
  <conditionalFormatting sqref="M74:M75 M64:M65 M19:M21 M26:M33 M40:M44 M46 M48 M51:M61 M67:M71 M23:M24 M35:M38 M4:M17">
    <cfRule type="cellIs" dxfId="8" priority="7" operator="lessThan">
      <formula>0</formula>
    </cfRule>
  </conditionalFormatting>
  <conditionalFormatting sqref="F20:F21 F23:F24 F46 F48 F52:F61 F64:F65 F74:F75 F68:F69 F26:F33 F40:F44 F4:F17 F35:F38">
    <cfRule type="cellIs" dxfId="7" priority="6" operator="lessThan">
      <formula>0</formula>
    </cfRule>
  </conditionalFormatting>
  <conditionalFormatting sqref="CT736 CS67:CS69">
    <cfRule type="cellIs" dxfId="6" priority="5" operator="lessThan">
      <formula>0</formula>
    </cfRule>
  </conditionalFormatting>
  <conditionalFormatting sqref="AA34 AH34 AO34 AV34 BC34 BJ34">
    <cfRule type="cellIs" dxfId="5" priority="4" operator="lessThan">
      <formula>0</formula>
    </cfRule>
  </conditionalFormatting>
  <conditionalFormatting sqref="T34">
    <cfRule type="cellIs" dxfId="4" priority="3" operator="lessThan">
      <formula>0</formula>
    </cfRule>
  </conditionalFormatting>
  <conditionalFormatting sqref="M34">
    <cfRule type="cellIs" dxfId="3" priority="2" operator="lessThan">
      <formula>0</formula>
    </cfRule>
  </conditionalFormatting>
  <conditionalFormatting sqref="F34">
    <cfRule type="cellIs" dxfId="2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J56"/>
  <sheetViews>
    <sheetView showGridLines="0" tabSelected="1" zoomScale="85" zoomScaleNormal="85" workbookViewId="0">
      <selection activeCell="F46" sqref="F46"/>
    </sheetView>
  </sheetViews>
  <sheetFormatPr baseColWidth="10" defaultColWidth="11.44140625" defaultRowHeight="15.6" x14ac:dyDescent="0.3"/>
  <cols>
    <col min="1" max="1" width="3.44140625" style="301" customWidth="1"/>
    <col min="2" max="2" width="56.6640625" style="301" bestFit="1" customWidth="1"/>
    <col min="3" max="3" width="19.44140625" style="301" customWidth="1"/>
    <col min="4" max="4" width="16.33203125" style="301" bestFit="1" customWidth="1"/>
    <col min="5" max="7" width="18" style="301" bestFit="1" customWidth="1"/>
    <col min="8" max="8" width="16.5546875" style="301" customWidth="1"/>
    <col min="9" max="16384" width="11.44140625" style="301"/>
  </cols>
  <sheetData>
    <row r="2" spans="1:8" x14ac:dyDescent="0.3">
      <c r="A2" s="390"/>
      <c r="B2" s="439" t="s">
        <v>119</v>
      </c>
      <c r="C2" s="440"/>
      <c r="D2" s="440"/>
      <c r="E2" s="440"/>
      <c r="F2" s="440"/>
      <c r="G2" s="440"/>
      <c r="H2" s="440"/>
    </row>
    <row r="3" spans="1:8" x14ac:dyDescent="0.3">
      <c r="A3" s="390"/>
      <c r="B3" s="439" t="s">
        <v>152</v>
      </c>
      <c r="C3" s="440"/>
      <c r="D3" s="440"/>
      <c r="E3" s="440"/>
      <c r="F3" s="440"/>
      <c r="G3" s="440"/>
      <c r="H3" s="440"/>
    </row>
    <row r="4" spans="1:8" x14ac:dyDescent="0.3">
      <c r="A4" s="390"/>
      <c r="B4" s="439" t="s">
        <v>151</v>
      </c>
      <c r="C4" s="440"/>
      <c r="D4" s="440"/>
      <c r="E4" s="440"/>
      <c r="F4" s="440"/>
      <c r="G4" s="440"/>
      <c r="H4" s="440"/>
    </row>
    <row r="5" spans="1:8" x14ac:dyDescent="0.3">
      <c r="A5" s="390"/>
      <c r="B5" s="439" t="s">
        <v>150</v>
      </c>
      <c r="C5" s="440"/>
      <c r="D5" s="440"/>
      <c r="E5" s="440"/>
      <c r="F5" s="440"/>
      <c r="G5" s="440"/>
      <c r="H5" s="440"/>
    </row>
    <row r="6" spans="1:8" x14ac:dyDescent="0.3">
      <c r="A6" s="390"/>
      <c r="B6" s="439" t="s">
        <v>153</v>
      </c>
      <c r="C6" s="440"/>
      <c r="D6" s="440"/>
      <c r="E6" s="440"/>
      <c r="F6" s="440"/>
      <c r="G6" s="440"/>
      <c r="H6" s="440"/>
    </row>
    <row r="7" spans="1:8" x14ac:dyDescent="0.3">
      <c r="A7" s="391"/>
      <c r="B7" s="439" t="s">
        <v>120</v>
      </c>
      <c r="C7" s="440"/>
      <c r="D7" s="440"/>
      <c r="E7" s="440"/>
      <c r="F7" s="440"/>
      <c r="G7" s="440"/>
      <c r="H7" s="440"/>
    </row>
    <row r="8" spans="1:8" x14ac:dyDescent="0.3">
      <c r="A8" s="392"/>
      <c r="B8" s="439" t="s">
        <v>121</v>
      </c>
      <c r="C8" s="440"/>
      <c r="D8" s="440"/>
      <c r="E8" s="440"/>
      <c r="F8" s="440"/>
      <c r="G8" s="440"/>
      <c r="H8" s="440"/>
    </row>
    <row r="9" spans="1:8" ht="48.75" customHeight="1" x14ac:dyDescent="0.3">
      <c r="A9" s="392"/>
      <c r="B9" s="435"/>
      <c r="C9" s="409" t="s">
        <v>122</v>
      </c>
      <c r="D9" s="393" t="s">
        <v>123</v>
      </c>
      <c r="E9" s="409" t="s">
        <v>124</v>
      </c>
      <c r="F9" s="409" t="s">
        <v>125</v>
      </c>
      <c r="G9" s="409" t="s">
        <v>126</v>
      </c>
      <c r="H9" s="393" t="s">
        <v>149</v>
      </c>
    </row>
    <row r="10" spans="1:8" ht="13.95" customHeight="1" x14ac:dyDescent="0.3">
      <c r="A10" s="392"/>
      <c r="B10" s="435"/>
      <c r="C10" s="409" t="s">
        <v>128</v>
      </c>
      <c r="D10" s="393" t="s">
        <v>129</v>
      </c>
      <c r="E10" s="409" t="s">
        <v>130</v>
      </c>
      <c r="F10" s="409" t="s">
        <v>131</v>
      </c>
      <c r="G10" s="409" t="s">
        <v>132</v>
      </c>
      <c r="H10" s="409" t="s">
        <v>133</v>
      </c>
    </row>
    <row r="11" spans="1:8" x14ac:dyDescent="0.3">
      <c r="A11" s="392"/>
      <c r="B11" s="394" t="s">
        <v>134</v>
      </c>
      <c r="C11" s="414">
        <v>773124531</v>
      </c>
      <c r="D11" s="425">
        <v>124835216.29000001</v>
      </c>
      <c r="E11" s="414">
        <f>+C11+D11</f>
        <v>897959747.28999996</v>
      </c>
      <c r="F11" s="425">
        <v>767127211.28999996</v>
      </c>
      <c r="G11" s="425">
        <v>767127211.28999996</v>
      </c>
      <c r="H11" s="414">
        <f>+G11-C11</f>
        <v>-5997319.7100000381</v>
      </c>
    </row>
    <row r="12" spans="1:8" x14ac:dyDescent="0.3">
      <c r="A12" s="392"/>
      <c r="B12" s="394" t="s">
        <v>135</v>
      </c>
      <c r="C12" s="414">
        <v>0</v>
      </c>
      <c r="D12" s="414">
        <v>0</v>
      </c>
      <c r="E12" s="414">
        <f t="shared" ref="E12:E20" si="0">C12+D12</f>
        <v>0</v>
      </c>
      <c r="F12" s="414">
        <v>0</v>
      </c>
      <c r="G12" s="414">
        <v>0</v>
      </c>
      <c r="H12" s="414">
        <f>G12-C12</f>
        <v>0</v>
      </c>
    </row>
    <row r="13" spans="1:8" x14ac:dyDescent="0.3">
      <c r="A13" s="392"/>
      <c r="B13" s="394" t="s">
        <v>136</v>
      </c>
      <c r="C13" s="414">
        <v>0</v>
      </c>
      <c r="D13" s="414">
        <v>0</v>
      </c>
      <c r="E13" s="414">
        <v>0</v>
      </c>
      <c r="F13" s="414">
        <v>0</v>
      </c>
      <c r="G13" s="414">
        <v>0</v>
      </c>
      <c r="H13" s="415">
        <f>G13-C13</f>
        <v>0</v>
      </c>
    </row>
    <row r="14" spans="1:8" x14ac:dyDescent="0.3">
      <c r="A14" s="392"/>
      <c r="B14" s="394" t="s">
        <v>137</v>
      </c>
      <c r="C14" s="414">
        <v>151900238</v>
      </c>
      <c r="D14" s="425">
        <v>37606469.329999998</v>
      </c>
      <c r="E14" s="414">
        <f>+C14+D14</f>
        <v>189506707.32999998</v>
      </c>
      <c r="F14" s="425">
        <v>155469418.81</v>
      </c>
      <c r="G14" s="425">
        <v>155469418.81</v>
      </c>
      <c r="H14" s="414">
        <f>+G14-C14</f>
        <v>3569180.8100000024</v>
      </c>
    </row>
    <row r="15" spans="1:8" x14ac:dyDescent="0.3">
      <c r="A15" s="392"/>
      <c r="B15" s="394" t="s">
        <v>115</v>
      </c>
      <c r="C15" s="414">
        <v>19248804</v>
      </c>
      <c r="D15" s="425">
        <v>34537531.729999997</v>
      </c>
      <c r="E15" s="414">
        <f>+C15+D15</f>
        <v>53786335.729999997</v>
      </c>
      <c r="F15" s="425">
        <v>49001406.729999997</v>
      </c>
      <c r="G15" s="425">
        <v>49001406.729999997</v>
      </c>
      <c r="H15" s="414">
        <f>+G15-C15</f>
        <v>29752602.729999997</v>
      </c>
    </row>
    <row r="16" spans="1:8" x14ac:dyDescent="0.3">
      <c r="A16" s="391"/>
      <c r="B16" s="394" t="s">
        <v>117</v>
      </c>
      <c r="C16" s="414">
        <v>23278887</v>
      </c>
      <c r="D16" s="425">
        <v>15045930.529999999</v>
      </c>
      <c r="E16" s="414">
        <f>C16+D16</f>
        <v>38324817.530000001</v>
      </c>
      <c r="F16" s="425">
        <v>33735512.530000001</v>
      </c>
      <c r="G16" s="425">
        <v>33735512.530000001</v>
      </c>
      <c r="H16" s="414">
        <f>+G16-C16</f>
        <v>10456625.530000001</v>
      </c>
    </row>
    <row r="17" spans="1:10" x14ac:dyDescent="0.3">
      <c r="A17" s="391"/>
      <c r="B17" s="395" t="s">
        <v>138</v>
      </c>
      <c r="C17" s="414">
        <v>0</v>
      </c>
      <c r="D17" s="414">
        <v>0</v>
      </c>
      <c r="E17" s="414">
        <f t="shared" si="0"/>
        <v>0</v>
      </c>
      <c r="F17" s="414">
        <v>0</v>
      </c>
      <c r="G17" s="414">
        <v>0</v>
      </c>
      <c r="H17" s="414">
        <f t="shared" ref="H17:H20" si="1">+G17-C17</f>
        <v>0</v>
      </c>
    </row>
    <row r="18" spans="1:10" x14ac:dyDescent="0.3">
      <c r="A18" s="391"/>
      <c r="B18" s="395" t="s">
        <v>139</v>
      </c>
      <c r="C18" s="414">
        <v>617595148</v>
      </c>
      <c r="D18" s="425">
        <v>105527714.59999999</v>
      </c>
      <c r="E18" s="414">
        <f>C18+D18</f>
        <v>723122862.60000002</v>
      </c>
      <c r="F18" s="425">
        <v>580491133.60000002</v>
      </c>
      <c r="G18" s="425">
        <v>580491133.60000002</v>
      </c>
      <c r="H18" s="414">
        <f>+G18-C18</f>
        <v>-37104014.399999976</v>
      </c>
    </row>
    <row r="19" spans="1:10" x14ac:dyDescent="0.3">
      <c r="A19" s="391"/>
      <c r="B19" s="396" t="s">
        <v>140</v>
      </c>
      <c r="C19" s="414">
        <v>0</v>
      </c>
      <c r="D19" s="414">
        <v>0</v>
      </c>
      <c r="E19" s="414">
        <f t="shared" si="0"/>
        <v>0</v>
      </c>
      <c r="F19" s="414">
        <v>0</v>
      </c>
      <c r="G19" s="414">
        <v>0</v>
      </c>
      <c r="H19" s="414">
        <f>+G19-C19</f>
        <v>0</v>
      </c>
    </row>
    <row r="20" spans="1:10" x14ac:dyDescent="0.3">
      <c r="A20" s="391"/>
      <c r="B20" s="397" t="s">
        <v>141</v>
      </c>
      <c r="C20" s="414">
        <v>0</v>
      </c>
      <c r="D20" s="414">
        <v>0</v>
      </c>
      <c r="E20" s="414">
        <f t="shared" si="0"/>
        <v>0</v>
      </c>
      <c r="F20" s="416">
        <v>0</v>
      </c>
      <c r="G20" s="417">
        <v>0</v>
      </c>
      <c r="H20" s="416">
        <f t="shared" si="1"/>
        <v>0</v>
      </c>
    </row>
    <row r="21" spans="1:10" ht="24.6" customHeight="1" x14ac:dyDescent="0.3">
      <c r="A21" s="398"/>
      <c r="B21" s="399" t="s">
        <v>142</v>
      </c>
      <c r="C21" s="413">
        <f>C11+C14+C15+C16+C18</f>
        <v>1585147608</v>
      </c>
      <c r="D21" s="413">
        <f>SUM(D11:D20)</f>
        <v>317552862.48000002</v>
      </c>
      <c r="E21" s="413">
        <f>SUM(E11:E20)</f>
        <v>1902700470.48</v>
      </c>
      <c r="F21" s="413">
        <f>SUM(F11:F20)</f>
        <v>1585824682.96</v>
      </c>
      <c r="G21" s="418">
        <f>SUM(G11:G20)</f>
        <v>1585824682.96</v>
      </c>
      <c r="H21" s="419">
        <f>+G21-C21</f>
        <v>677074.96000003815</v>
      </c>
      <c r="J21" s="426">
        <f>+G21-F21</f>
        <v>0</v>
      </c>
    </row>
    <row r="22" spans="1:10" x14ac:dyDescent="0.3">
      <c r="A22" s="391"/>
      <c r="B22" s="400"/>
      <c r="C22" s="420"/>
      <c r="D22" s="420"/>
      <c r="E22" s="420"/>
      <c r="F22" s="438" t="s">
        <v>143</v>
      </c>
      <c r="G22" s="438"/>
      <c r="H22" s="421"/>
    </row>
    <row r="23" spans="1:10" x14ac:dyDescent="0.3">
      <c r="A23" s="391"/>
      <c r="B23" s="391"/>
      <c r="C23" s="391"/>
      <c r="D23" s="391"/>
      <c r="E23" s="391"/>
      <c r="F23" s="401"/>
      <c r="G23" s="401"/>
      <c r="H23" s="391"/>
    </row>
    <row r="24" spans="1:10" x14ac:dyDescent="0.3">
      <c r="A24" s="391"/>
      <c r="B24" s="391"/>
      <c r="C24" s="401"/>
      <c r="D24" s="401"/>
      <c r="E24" s="401"/>
      <c r="F24" s="401"/>
      <c r="G24" s="401"/>
      <c r="H24" s="401"/>
    </row>
    <row r="25" spans="1:10" x14ac:dyDescent="0.3">
      <c r="A25" s="391"/>
      <c r="B25" s="439" t="s">
        <v>119</v>
      </c>
      <c r="C25" s="440"/>
      <c r="D25" s="440"/>
      <c r="E25" s="440"/>
      <c r="F25" s="440"/>
      <c r="G25" s="440"/>
      <c r="H25" s="440"/>
    </row>
    <row r="26" spans="1:10" x14ac:dyDescent="0.3">
      <c r="A26" s="391"/>
      <c r="B26" s="439" t="str">
        <f>B3</f>
        <v>Secretaría de Tesorería y Finanzas</v>
      </c>
      <c r="C26" s="440"/>
      <c r="D26" s="440"/>
      <c r="E26" s="440"/>
      <c r="F26" s="440"/>
      <c r="G26" s="440"/>
      <c r="H26" s="440"/>
    </row>
    <row r="27" spans="1:10" x14ac:dyDescent="0.3">
      <c r="A27" s="391"/>
      <c r="B27" s="439" t="str">
        <f>B4</f>
        <v xml:space="preserve">Dirección de Ingresos </v>
      </c>
      <c r="C27" s="440"/>
      <c r="D27" s="440"/>
      <c r="E27" s="440"/>
      <c r="F27" s="440"/>
      <c r="G27" s="440"/>
      <c r="H27" s="440"/>
    </row>
    <row r="28" spans="1:10" x14ac:dyDescent="0.3">
      <c r="A28" s="391"/>
      <c r="B28" s="439" t="s">
        <v>150</v>
      </c>
      <c r="C28" s="440"/>
      <c r="D28" s="440"/>
      <c r="E28" s="440"/>
      <c r="F28" s="440"/>
      <c r="G28" s="440"/>
      <c r="H28" s="440"/>
    </row>
    <row r="29" spans="1:10" x14ac:dyDescent="0.3">
      <c r="A29" s="391"/>
      <c r="B29" s="439" t="str">
        <f>B6</f>
        <v>Del  31 de enero al 30 de septiembre 2023</v>
      </c>
      <c r="C29" s="440"/>
      <c r="D29" s="440"/>
      <c r="E29" s="440"/>
      <c r="F29" s="440"/>
      <c r="G29" s="440"/>
      <c r="H29" s="440"/>
    </row>
    <row r="30" spans="1:10" x14ac:dyDescent="0.3">
      <c r="A30" s="391"/>
      <c r="B30" s="439" t="s">
        <v>120</v>
      </c>
      <c r="C30" s="440"/>
      <c r="D30" s="440"/>
      <c r="E30" s="440"/>
      <c r="F30" s="440"/>
      <c r="G30" s="440"/>
      <c r="H30" s="440"/>
    </row>
    <row r="31" spans="1:10" ht="41.4" x14ac:dyDescent="0.3">
      <c r="A31" s="391"/>
      <c r="B31" s="435" t="s">
        <v>144</v>
      </c>
      <c r="C31" s="408" t="s">
        <v>145</v>
      </c>
      <c r="D31" s="393" t="s">
        <v>123</v>
      </c>
      <c r="E31" s="408" t="s">
        <v>124</v>
      </c>
      <c r="F31" s="408" t="s">
        <v>125</v>
      </c>
      <c r="G31" s="408" t="s">
        <v>126</v>
      </c>
      <c r="H31" s="393" t="s">
        <v>127</v>
      </c>
    </row>
    <row r="32" spans="1:10" x14ac:dyDescent="0.3">
      <c r="A32" s="391"/>
      <c r="B32" s="435"/>
      <c r="C32" s="408" t="s">
        <v>128</v>
      </c>
      <c r="D32" s="393" t="s">
        <v>129</v>
      </c>
      <c r="E32" s="408" t="s">
        <v>130</v>
      </c>
      <c r="F32" s="408" t="s">
        <v>131</v>
      </c>
      <c r="G32" s="408" t="s">
        <v>132</v>
      </c>
      <c r="H32" s="408" t="s">
        <v>133</v>
      </c>
    </row>
    <row r="33" spans="1:8" x14ac:dyDescent="0.3">
      <c r="A33" s="391"/>
      <c r="B33" s="412" t="s">
        <v>148</v>
      </c>
      <c r="C33" s="410"/>
      <c r="D33" s="410"/>
      <c r="E33" s="410"/>
      <c r="F33" s="410"/>
      <c r="G33" s="411"/>
      <c r="H33" s="410"/>
    </row>
    <row r="34" spans="1:8" x14ac:dyDescent="0.3">
      <c r="A34" s="391"/>
      <c r="B34" s="402" t="s">
        <v>146</v>
      </c>
      <c r="C34" s="414"/>
      <c r="D34" s="414"/>
      <c r="E34" s="414"/>
      <c r="F34" s="414"/>
      <c r="G34" s="422"/>
      <c r="H34" s="414"/>
    </row>
    <row r="35" spans="1:8" x14ac:dyDescent="0.3">
      <c r="A35" s="391"/>
      <c r="B35" s="403" t="s">
        <v>134</v>
      </c>
      <c r="C35" s="414">
        <v>773124531</v>
      </c>
      <c r="D35" s="414">
        <v>124835216.29000001</v>
      </c>
      <c r="E35" s="414">
        <f>+C35+D35</f>
        <v>897959747.28999996</v>
      </c>
      <c r="F35" s="414">
        <v>767127211.28999996</v>
      </c>
      <c r="G35" s="414">
        <v>767127211.28999996</v>
      </c>
      <c r="H35" s="414">
        <f>+G35-C35</f>
        <v>-5997319.7100000381</v>
      </c>
    </row>
    <row r="36" spans="1:8" x14ac:dyDescent="0.3">
      <c r="A36" s="391"/>
      <c r="B36" s="404" t="s">
        <v>136</v>
      </c>
      <c r="C36" s="414">
        <v>0</v>
      </c>
      <c r="D36" s="414">
        <v>0</v>
      </c>
      <c r="E36" s="414">
        <f t="shared" ref="E36:E40" si="2">+C36+D36</f>
        <v>0</v>
      </c>
      <c r="F36" s="414">
        <v>0</v>
      </c>
      <c r="G36" s="414">
        <v>0</v>
      </c>
      <c r="H36" s="414">
        <f t="shared" ref="H36:H40" si="3">+G36-C36</f>
        <v>0</v>
      </c>
    </row>
    <row r="37" spans="1:8" x14ac:dyDescent="0.3">
      <c r="A37" s="391"/>
      <c r="B37" s="403" t="s">
        <v>137</v>
      </c>
      <c r="C37" s="414">
        <v>151900238</v>
      </c>
      <c r="D37" s="414">
        <v>37606469.329999998</v>
      </c>
      <c r="E37" s="414">
        <f t="shared" si="2"/>
        <v>189506707.32999998</v>
      </c>
      <c r="F37" s="414">
        <v>155469418.81</v>
      </c>
      <c r="G37" s="414">
        <v>155469418.81</v>
      </c>
      <c r="H37" s="414">
        <f t="shared" si="3"/>
        <v>3569180.8100000024</v>
      </c>
    </row>
    <row r="38" spans="1:8" x14ac:dyDescent="0.3">
      <c r="A38" s="391"/>
      <c r="B38" s="403" t="s">
        <v>115</v>
      </c>
      <c r="C38" s="414">
        <v>19248804</v>
      </c>
      <c r="D38" s="414">
        <v>34537531.729999997</v>
      </c>
      <c r="E38" s="414">
        <f t="shared" si="2"/>
        <v>53786335.729999997</v>
      </c>
      <c r="F38" s="414">
        <v>49001406.729999997</v>
      </c>
      <c r="G38" s="414">
        <v>49001406.729999997</v>
      </c>
      <c r="H38" s="414">
        <f t="shared" si="3"/>
        <v>29752602.729999997</v>
      </c>
    </row>
    <row r="39" spans="1:8" x14ac:dyDescent="0.3">
      <c r="A39" s="391"/>
      <c r="B39" s="403" t="s">
        <v>117</v>
      </c>
      <c r="C39" s="414">
        <v>23278887</v>
      </c>
      <c r="D39" s="425">
        <v>15045930.529999999</v>
      </c>
      <c r="E39" s="414">
        <f t="shared" si="2"/>
        <v>38324817.530000001</v>
      </c>
      <c r="F39" s="425">
        <v>33735512.530000001</v>
      </c>
      <c r="G39" s="425">
        <v>33735512.530000001</v>
      </c>
      <c r="H39" s="414">
        <f t="shared" si="3"/>
        <v>10456625.530000001</v>
      </c>
    </row>
    <row r="40" spans="1:8" x14ac:dyDescent="0.3">
      <c r="A40" s="391"/>
      <c r="B40" s="403" t="s">
        <v>139</v>
      </c>
      <c r="C40" s="414">
        <v>617595148</v>
      </c>
      <c r="D40" s="414">
        <v>105527714.59999999</v>
      </c>
      <c r="E40" s="414">
        <f t="shared" si="2"/>
        <v>723122862.60000002</v>
      </c>
      <c r="F40" s="414">
        <v>580491133.60000002</v>
      </c>
      <c r="G40" s="414">
        <v>580491133.60000002</v>
      </c>
      <c r="H40" s="414">
        <f t="shared" si="3"/>
        <v>-37104014.399999976</v>
      </c>
    </row>
    <row r="41" spans="1:8" x14ac:dyDescent="0.3">
      <c r="A41" s="391"/>
      <c r="B41" s="405" t="s">
        <v>140</v>
      </c>
      <c r="C41" s="414">
        <v>0</v>
      </c>
      <c r="D41" s="414">
        <v>0</v>
      </c>
      <c r="E41" s="414">
        <f t="shared" ref="E41" si="4">+C41+D41</f>
        <v>0</v>
      </c>
      <c r="F41" s="414">
        <v>0</v>
      </c>
      <c r="G41" s="414">
        <v>0</v>
      </c>
      <c r="H41" s="414">
        <f t="shared" ref="H41:H48" si="5">+G41-C41</f>
        <v>0</v>
      </c>
    </row>
    <row r="42" spans="1:8" x14ac:dyDescent="0.3">
      <c r="A42" s="391"/>
      <c r="B42" s="405"/>
      <c r="C42" s="414"/>
      <c r="D42" s="414"/>
      <c r="E42" s="414"/>
      <c r="F42" s="414"/>
      <c r="G42" s="414"/>
      <c r="H42" s="414"/>
    </row>
    <row r="43" spans="1:8" x14ac:dyDescent="0.3">
      <c r="A43" s="391"/>
      <c r="B43" s="402" t="s">
        <v>147</v>
      </c>
      <c r="C43" s="414"/>
      <c r="D43" s="414"/>
      <c r="E43" s="414"/>
      <c r="F43" s="414"/>
      <c r="G43" s="414"/>
      <c r="H43" s="414"/>
    </row>
    <row r="44" spans="1:8" x14ac:dyDescent="0.3">
      <c r="A44" s="391"/>
      <c r="B44" s="405" t="s">
        <v>135</v>
      </c>
      <c r="C44" s="414">
        <v>0</v>
      </c>
      <c r="D44" s="414">
        <v>0</v>
      </c>
      <c r="E44" s="414">
        <f t="shared" ref="E44:E49" si="6">C44+D44</f>
        <v>0</v>
      </c>
      <c r="F44" s="414">
        <v>0</v>
      </c>
      <c r="G44" s="414">
        <v>0</v>
      </c>
      <c r="H44" s="414">
        <f t="shared" si="5"/>
        <v>0</v>
      </c>
    </row>
    <row r="45" spans="1:8" x14ac:dyDescent="0.3">
      <c r="A45" s="391"/>
      <c r="B45" s="405" t="s">
        <v>138</v>
      </c>
      <c r="C45" s="414">
        <v>0</v>
      </c>
      <c r="D45" s="414">
        <v>0</v>
      </c>
      <c r="E45" s="414">
        <f t="shared" si="6"/>
        <v>0</v>
      </c>
      <c r="F45" s="414">
        <v>0</v>
      </c>
      <c r="G45" s="414">
        <v>0</v>
      </c>
      <c r="H45" s="414">
        <f t="shared" si="5"/>
        <v>0</v>
      </c>
    </row>
    <row r="46" spans="1:8" x14ac:dyDescent="0.3">
      <c r="A46" s="391"/>
      <c r="B46" s="405" t="s">
        <v>140</v>
      </c>
      <c r="C46" s="414">
        <v>0</v>
      </c>
      <c r="D46" s="414">
        <v>0</v>
      </c>
      <c r="E46" s="414">
        <f t="shared" si="6"/>
        <v>0</v>
      </c>
      <c r="F46" s="414">
        <v>0</v>
      </c>
      <c r="G46" s="414">
        <v>0</v>
      </c>
      <c r="H46" s="414">
        <f t="shared" si="5"/>
        <v>0</v>
      </c>
    </row>
    <row r="47" spans="1:8" x14ac:dyDescent="0.3">
      <c r="A47" s="391"/>
      <c r="B47" s="405"/>
      <c r="C47" s="414"/>
      <c r="D47" s="414"/>
      <c r="E47" s="414"/>
      <c r="F47" s="414"/>
      <c r="G47" s="414"/>
      <c r="H47" s="414"/>
    </row>
    <row r="48" spans="1:8" x14ac:dyDescent="0.3">
      <c r="A48" s="391"/>
      <c r="B48" s="406" t="s">
        <v>141</v>
      </c>
      <c r="C48" s="414"/>
      <c r="D48" s="414"/>
      <c r="E48" s="414">
        <f t="shared" si="6"/>
        <v>0</v>
      </c>
      <c r="F48" s="414">
        <v>0</v>
      </c>
      <c r="G48" s="414"/>
      <c r="H48" s="414">
        <f t="shared" si="5"/>
        <v>0</v>
      </c>
    </row>
    <row r="49" spans="1:8" x14ac:dyDescent="0.3">
      <c r="A49" s="391"/>
      <c r="B49" s="407" t="s">
        <v>141</v>
      </c>
      <c r="C49" s="416">
        <v>0</v>
      </c>
      <c r="D49" s="416">
        <v>0</v>
      </c>
      <c r="E49" s="416">
        <f t="shared" si="6"/>
        <v>0</v>
      </c>
      <c r="F49" s="416">
        <v>0</v>
      </c>
      <c r="G49" s="416">
        <v>0</v>
      </c>
      <c r="H49" s="414">
        <f t="shared" ref="H49" si="7">+G49-C49</f>
        <v>0</v>
      </c>
    </row>
    <row r="50" spans="1:8" ht="31.95" customHeight="1" x14ac:dyDescent="0.3">
      <c r="A50" s="391"/>
      <c r="B50" s="399" t="s">
        <v>142</v>
      </c>
      <c r="C50" s="423">
        <f>SUM(C34:C49)</f>
        <v>1585147608</v>
      </c>
      <c r="D50" s="423">
        <f t="shared" ref="D50:G50" si="8">SUM(D34:D49)</f>
        <v>317552862.48000002</v>
      </c>
      <c r="E50" s="423">
        <f>+C50+D50</f>
        <v>1902700470.48</v>
      </c>
      <c r="F50" s="423">
        <f t="shared" si="8"/>
        <v>1585824682.96</v>
      </c>
      <c r="G50" s="423">
        <f t="shared" si="8"/>
        <v>1585824682.96</v>
      </c>
      <c r="H50" s="436">
        <f>SUM(H34:H49)</f>
        <v>677074.95999998599</v>
      </c>
    </row>
    <row r="51" spans="1:8" x14ac:dyDescent="0.3">
      <c r="A51" s="391"/>
      <c r="B51" s="398"/>
      <c r="C51" s="424"/>
      <c r="D51" s="424"/>
      <c r="E51" s="424"/>
      <c r="F51" s="437" t="s">
        <v>143</v>
      </c>
      <c r="G51" s="437"/>
      <c r="H51" s="436"/>
    </row>
    <row r="52" spans="1:8" x14ac:dyDescent="0.3">
      <c r="G52" s="313"/>
    </row>
    <row r="53" spans="1:8" x14ac:dyDescent="0.3">
      <c r="C53" s="313"/>
      <c r="D53" s="313"/>
      <c r="E53" s="313"/>
      <c r="F53" s="313"/>
      <c r="G53" s="313"/>
      <c r="H53" s="313"/>
    </row>
    <row r="55" spans="1:8" x14ac:dyDescent="0.3">
      <c r="C55" s="313"/>
      <c r="D55" s="313"/>
      <c r="E55" s="313"/>
      <c r="F55" s="313"/>
      <c r="G55" s="313"/>
      <c r="H55" s="313"/>
    </row>
    <row r="56" spans="1:8" x14ac:dyDescent="0.3">
      <c r="C56" s="313"/>
      <c r="D56" s="313"/>
      <c r="E56" s="313"/>
      <c r="F56" s="313"/>
      <c r="G56" s="313"/>
      <c r="H56" s="313"/>
    </row>
  </sheetData>
  <mergeCells count="18">
    <mergeCell ref="B2:H2"/>
    <mergeCell ref="B5:H5"/>
    <mergeCell ref="B6:H6"/>
    <mergeCell ref="B7:H7"/>
    <mergeCell ref="B8:H8"/>
    <mergeCell ref="B4:H4"/>
    <mergeCell ref="B3:H3"/>
    <mergeCell ref="B9:B10"/>
    <mergeCell ref="H50:H51"/>
    <mergeCell ref="F51:G51"/>
    <mergeCell ref="F22:G22"/>
    <mergeCell ref="B25:H25"/>
    <mergeCell ref="B28:H28"/>
    <mergeCell ref="B29:H29"/>
    <mergeCell ref="B30:H30"/>
    <mergeCell ref="B31:B32"/>
    <mergeCell ref="B26:H26"/>
    <mergeCell ref="B27:H27"/>
  </mergeCells>
  <printOptions horizontalCentered="1"/>
  <pageMargins left="0.11811023622047245" right="0" top="0" bottom="0" header="0.31496062992125984" footer="0.31496062992125984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>
    <pageSetUpPr fitToPage="1"/>
  </sheetPr>
  <dimension ref="A1:J86"/>
  <sheetViews>
    <sheetView showGridLines="0" topLeftCell="B1" zoomScale="130" zoomScaleNormal="130" zoomScalePageLayoutView="87" workbookViewId="0">
      <selection activeCell="D1" sqref="D1:G1"/>
    </sheetView>
  </sheetViews>
  <sheetFormatPr baseColWidth="10" defaultColWidth="11.44140625" defaultRowHeight="13.8" x14ac:dyDescent="0.3"/>
  <cols>
    <col min="1" max="1" width="5.44140625" style="12" hidden="1" customWidth="1"/>
    <col min="2" max="2" width="72.88671875" style="13" customWidth="1"/>
    <col min="3" max="3" width="1.5546875" style="13" customWidth="1"/>
    <col min="4" max="4" width="14.44140625" style="13" customWidth="1"/>
    <col min="5" max="5" width="14.109375" style="13" bestFit="1" customWidth="1"/>
    <col min="6" max="6" width="10.6640625" style="13" bestFit="1" customWidth="1"/>
    <col min="7" max="7" width="7.33203125" style="13" bestFit="1" customWidth="1"/>
    <col min="8" max="8" width="1.88671875" style="13" customWidth="1"/>
    <col min="9" max="9" width="12.5546875" style="13" bestFit="1" customWidth="1"/>
    <col min="10" max="11" width="11.44140625" style="13" customWidth="1"/>
    <col min="12" max="16384" width="11.44140625" style="13"/>
  </cols>
  <sheetData>
    <row r="1" spans="1:9" ht="13.5" customHeight="1" x14ac:dyDescent="0.3">
      <c r="A1" s="441" t="s">
        <v>0</v>
      </c>
      <c r="B1" s="443" t="s">
        <v>1</v>
      </c>
      <c r="C1" s="92"/>
      <c r="D1" s="445" t="s">
        <v>108</v>
      </c>
      <c r="E1" s="446"/>
      <c r="F1" s="446"/>
      <c r="G1" s="447"/>
      <c r="H1" s="92"/>
      <c r="I1" s="443">
        <v>2017</v>
      </c>
    </row>
    <row r="2" spans="1:9" x14ac:dyDescent="0.3">
      <c r="A2" s="442"/>
      <c r="B2" s="444"/>
      <c r="C2" s="92"/>
      <c r="D2" s="84" t="s">
        <v>71</v>
      </c>
      <c r="E2" s="74" t="s">
        <v>72</v>
      </c>
      <c r="F2" s="74" t="s">
        <v>73</v>
      </c>
      <c r="G2" s="94" t="s">
        <v>74</v>
      </c>
      <c r="H2" s="92"/>
      <c r="I2" s="444"/>
    </row>
    <row r="3" spans="1:9" s="26" customFormat="1" ht="16.5" customHeight="1" x14ac:dyDescent="0.3">
      <c r="A3" s="24"/>
      <c r="B3" s="101" t="s">
        <v>3</v>
      </c>
      <c r="C3" s="90"/>
      <c r="D3" s="89">
        <v>1586926</v>
      </c>
      <c r="E3" s="86">
        <v>1667957</v>
      </c>
      <c r="F3" s="86">
        <f t="shared" ref="F3:F34" si="0">E3-D3</f>
        <v>81031</v>
      </c>
      <c r="G3" s="95">
        <f t="shared" ref="G3:G34" si="1">IFERROR(E3/D3,0)</f>
        <v>1.0510616121986784</v>
      </c>
      <c r="H3" s="90"/>
      <c r="I3" s="154">
        <v>1580654.28</v>
      </c>
    </row>
    <row r="4" spans="1:9" s="31" customFormat="1" ht="16.5" customHeight="1" x14ac:dyDescent="0.3">
      <c r="A4" s="29">
        <v>12</v>
      </c>
      <c r="B4" s="102" t="s">
        <v>4</v>
      </c>
      <c r="C4" s="91"/>
      <c r="D4" s="34">
        <v>1586926</v>
      </c>
      <c r="E4" s="3">
        <v>1667957</v>
      </c>
      <c r="F4" s="3">
        <f t="shared" si="0"/>
        <v>81031</v>
      </c>
      <c r="G4" s="96">
        <f t="shared" si="1"/>
        <v>1.0510616121986784</v>
      </c>
      <c r="H4" s="91"/>
      <c r="I4" s="1">
        <v>1580654.28</v>
      </c>
    </row>
    <row r="5" spans="1:9" s="26" customFormat="1" ht="16.5" customHeight="1" x14ac:dyDescent="0.3">
      <c r="A5" s="35"/>
      <c r="B5" s="103" t="s">
        <v>5</v>
      </c>
      <c r="C5" s="90"/>
      <c r="D5" s="89">
        <v>398364271</v>
      </c>
      <c r="E5" s="4">
        <v>463725359.45999998</v>
      </c>
      <c r="F5" s="4">
        <f t="shared" si="0"/>
        <v>65361088.459999979</v>
      </c>
      <c r="G5" s="97">
        <f t="shared" si="1"/>
        <v>1.164073671305728</v>
      </c>
      <c r="H5" s="90"/>
      <c r="I5" s="155">
        <v>440113194.67000008</v>
      </c>
    </row>
    <row r="6" spans="1:9" s="31" customFormat="1" ht="14.25" customHeight="1" x14ac:dyDescent="0.3">
      <c r="A6" s="29">
        <v>13</v>
      </c>
      <c r="B6" s="102" t="s">
        <v>6</v>
      </c>
      <c r="C6" s="91"/>
      <c r="D6" s="34">
        <v>171976096</v>
      </c>
      <c r="E6" s="3">
        <v>190088036.25999999</v>
      </c>
      <c r="F6" s="3">
        <f t="shared" si="0"/>
        <v>18111940.25999999</v>
      </c>
      <c r="G6" s="96">
        <f t="shared" si="1"/>
        <v>1.1053166148160498</v>
      </c>
      <c r="H6" s="91"/>
      <c r="I6" s="1">
        <v>168408677.45000002</v>
      </c>
    </row>
    <row r="7" spans="1:9" s="31" customFormat="1" ht="14.25" customHeight="1" x14ac:dyDescent="0.3">
      <c r="A7" s="29">
        <v>14</v>
      </c>
      <c r="B7" s="102" t="s">
        <v>7</v>
      </c>
      <c r="C7" s="91"/>
      <c r="D7" s="34">
        <v>220974825</v>
      </c>
      <c r="E7" s="3">
        <v>260704262.63</v>
      </c>
      <c r="F7" s="3">
        <f t="shared" si="0"/>
        <v>39729437.629999995</v>
      </c>
      <c r="G7" s="96">
        <f t="shared" si="1"/>
        <v>1.1797916917911351</v>
      </c>
      <c r="H7" s="91"/>
      <c r="I7" s="1">
        <v>261448481.13</v>
      </c>
    </row>
    <row r="8" spans="1:9" s="31" customFormat="1" ht="14.25" customHeight="1" x14ac:dyDescent="0.3">
      <c r="A8" s="29">
        <v>15</v>
      </c>
      <c r="B8" s="102" t="s">
        <v>8</v>
      </c>
      <c r="C8" s="91"/>
      <c r="D8" s="34">
        <v>5413350</v>
      </c>
      <c r="E8" s="3">
        <v>12933060.570000002</v>
      </c>
      <c r="F8" s="3">
        <f t="shared" si="0"/>
        <v>7519710.5700000022</v>
      </c>
      <c r="G8" s="96">
        <f t="shared" si="1"/>
        <v>2.3891048186428003</v>
      </c>
      <c r="H8" s="91"/>
      <c r="I8" s="1">
        <v>10256036.09</v>
      </c>
    </row>
    <row r="9" spans="1:9" s="26" customFormat="1" ht="16.5" customHeight="1" x14ac:dyDescent="0.3">
      <c r="A9" s="35"/>
      <c r="B9" s="103" t="s">
        <v>9</v>
      </c>
      <c r="C9" s="90"/>
      <c r="D9" s="89">
        <v>15675023</v>
      </c>
      <c r="E9" s="4">
        <v>13100317.790000001</v>
      </c>
      <c r="F9" s="4">
        <f t="shared" si="0"/>
        <v>-2574705.209999999</v>
      </c>
      <c r="G9" s="97">
        <f t="shared" si="1"/>
        <v>0.83574472522305077</v>
      </c>
      <c r="H9" s="90"/>
      <c r="I9" s="155">
        <v>15808757.719999999</v>
      </c>
    </row>
    <row r="10" spans="1:9" s="31" customFormat="1" ht="16.5" customHeight="1" x14ac:dyDescent="0.3">
      <c r="A10" s="29">
        <v>16</v>
      </c>
      <c r="B10" s="102" t="s">
        <v>10</v>
      </c>
      <c r="C10" s="91"/>
      <c r="D10" s="34">
        <v>15675023</v>
      </c>
      <c r="E10" s="3">
        <v>13100317.790000001</v>
      </c>
      <c r="F10" s="3">
        <f t="shared" si="0"/>
        <v>-2574705.209999999</v>
      </c>
      <c r="G10" s="96">
        <f t="shared" si="1"/>
        <v>0.83574472522305077</v>
      </c>
      <c r="H10" s="91"/>
      <c r="I10" s="1">
        <v>15808757.719999999</v>
      </c>
    </row>
    <row r="11" spans="1:9" s="26" customFormat="1" ht="16.5" customHeight="1" x14ac:dyDescent="0.3">
      <c r="A11" s="35"/>
      <c r="B11" s="103" t="s">
        <v>11</v>
      </c>
      <c r="C11" s="90"/>
      <c r="D11" s="89">
        <v>1103811</v>
      </c>
      <c r="E11" s="4">
        <v>1968531.5</v>
      </c>
      <c r="F11" s="4">
        <f t="shared" si="0"/>
        <v>864720.5</v>
      </c>
      <c r="G11" s="97">
        <f t="shared" si="1"/>
        <v>1.7833954363564053</v>
      </c>
      <c r="H11" s="90"/>
      <c r="I11" s="155">
        <v>1760557.4599999997</v>
      </c>
    </row>
    <row r="12" spans="1:9" s="31" customFormat="1" ht="16.5" customHeight="1" x14ac:dyDescent="0.3">
      <c r="A12" s="29">
        <v>17</v>
      </c>
      <c r="B12" s="102" t="s">
        <v>12</v>
      </c>
      <c r="C12" s="91"/>
      <c r="D12" s="34">
        <v>1103811</v>
      </c>
      <c r="E12" s="3">
        <v>1968531.5</v>
      </c>
      <c r="F12" s="3">
        <f t="shared" si="0"/>
        <v>864720.5</v>
      </c>
      <c r="G12" s="96">
        <f t="shared" si="1"/>
        <v>1.7833954363564053</v>
      </c>
      <c r="H12" s="91"/>
      <c r="I12" s="1">
        <v>1760557.4599999997</v>
      </c>
    </row>
    <row r="13" spans="1:9" s="26" customFormat="1" ht="16.5" customHeight="1" x14ac:dyDescent="0.3">
      <c r="A13" s="35"/>
      <c r="B13" s="103" t="s">
        <v>13</v>
      </c>
      <c r="C13" s="90"/>
      <c r="D13" s="89">
        <v>43383432</v>
      </c>
      <c r="E13" s="4">
        <v>51130718.920000002</v>
      </c>
      <c r="F13" s="4">
        <f t="shared" si="0"/>
        <v>7747286.9200000018</v>
      </c>
      <c r="G13" s="97">
        <f t="shared" si="1"/>
        <v>1.1785770872161521</v>
      </c>
      <c r="H13" s="90"/>
      <c r="I13" s="155">
        <v>54966138.489999987</v>
      </c>
    </row>
    <row r="14" spans="1:9" s="31" customFormat="1" ht="15.75" customHeight="1" x14ac:dyDescent="0.3">
      <c r="A14" s="29">
        <v>18</v>
      </c>
      <c r="B14" s="102" t="s">
        <v>6</v>
      </c>
      <c r="C14" s="91"/>
      <c r="D14" s="34">
        <v>29697255</v>
      </c>
      <c r="E14" s="3">
        <v>30281739.529999997</v>
      </c>
      <c r="F14" s="3">
        <f t="shared" si="0"/>
        <v>584484.52999999747</v>
      </c>
      <c r="G14" s="96">
        <f t="shared" si="1"/>
        <v>1.0196814328462342</v>
      </c>
      <c r="H14" s="91"/>
      <c r="I14" s="1">
        <v>25356561.320000004</v>
      </c>
    </row>
    <row r="15" spans="1:9" s="31" customFormat="1" ht="15.75" customHeight="1" x14ac:dyDescent="0.3">
      <c r="A15" s="29"/>
      <c r="B15" s="102" t="s">
        <v>7</v>
      </c>
      <c r="C15" s="91"/>
      <c r="D15" s="34">
        <v>12526241</v>
      </c>
      <c r="E15" s="3">
        <v>19320703.239999998</v>
      </c>
      <c r="F15" s="3">
        <f t="shared" si="0"/>
        <v>6794462.2399999984</v>
      </c>
      <c r="G15" s="96">
        <f t="shared" si="1"/>
        <v>1.542418291329378</v>
      </c>
      <c r="H15" s="91"/>
      <c r="I15" s="1">
        <v>28663453.530000001</v>
      </c>
    </row>
    <row r="16" spans="1:9" s="31" customFormat="1" ht="15.75" customHeight="1" x14ac:dyDescent="0.3">
      <c r="A16" s="29"/>
      <c r="B16" s="102" t="s">
        <v>8</v>
      </c>
      <c r="C16" s="91"/>
      <c r="D16" s="34">
        <v>1159936</v>
      </c>
      <c r="E16" s="3">
        <v>1528276.1500000001</v>
      </c>
      <c r="F16" s="3">
        <f t="shared" si="0"/>
        <v>368340.15000000014</v>
      </c>
      <c r="G16" s="96">
        <f t="shared" si="1"/>
        <v>1.3175521321866035</v>
      </c>
      <c r="H16" s="91"/>
      <c r="I16" s="1">
        <v>946123.64</v>
      </c>
    </row>
    <row r="17" spans="1:10" s="31" customFormat="1" ht="16.5" customHeight="1" x14ac:dyDescent="0.3">
      <c r="A17" s="75"/>
      <c r="B17" s="146" t="s">
        <v>92</v>
      </c>
      <c r="C17" s="92"/>
      <c r="D17" s="147">
        <v>460113463</v>
      </c>
      <c r="E17" s="148">
        <v>531592884.66999996</v>
      </c>
      <c r="F17" s="148">
        <f t="shared" si="0"/>
        <v>71479421.669999957</v>
      </c>
      <c r="G17" s="149">
        <f t="shared" si="1"/>
        <v>1.1553517282540371</v>
      </c>
      <c r="H17" s="92"/>
      <c r="I17" s="150">
        <v>514229302.62</v>
      </c>
      <c r="J17" s="126"/>
    </row>
    <row r="18" spans="1:10" s="26" customFormat="1" ht="16.5" customHeight="1" x14ac:dyDescent="0.3">
      <c r="A18" s="78"/>
      <c r="B18" s="103" t="s">
        <v>15</v>
      </c>
      <c r="C18" s="93"/>
      <c r="D18" s="4">
        <v>0</v>
      </c>
      <c r="E18" s="4">
        <v>0</v>
      </c>
      <c r="F18" s="4">
        <f t="shared" si="0"/>
        <v>0</v>
      </c>
      <c r="G18" s="98">
        <f t="shared" si="1"/>
        <v>0</v>
      </c>
      <c r="H18" s="93"/>
      <c r="I18" s="155">
        <v>0</v>
      </c>
    </row>
    <row r="19" spans="1:10" s="31" customFormat="1" ht="16.5" customHeight="1" x14ac:dyDescent="0.3">
      <c r="A19" s="79">
        <v>19</v>
      </c>
      <c r="B19" s="104" t="s">
        <v>16</v>
      </c>
      <c r="C19" s="92"/>
      <c r="D19" s="3">
        <v>0</v>
      </c>
      <c r="E19" s="3">
        <v>0</v>
      </c>
      <c r="F19" s="3">
        <f t="shared" si="0"/>
        <v>0</v>
      </c>
      <c r="G19" s="99">
        <f t="shared" si="1"/>
        <v>0</v>
      </c>
      <c r="H19" s="92"/>
      <c r="I19" s="1">
        <v>0</v>
      </c>
    </row>
    <row r="20" spans="1:10" s="31" customFormat="1" ht="16.5" customHeight="1" x14ac:dyDescent="0.3">
      <c r="A20" s="79">
        <v>20</v>
      </c>
      <c r="B20" s="104" t="s">
        <v>17</v>
      </c>
      <c r="C20" s="92"/>
      <c r="D20" s="3">
        <v>0</v>
      </c>
      <c r="E20" s="3">
        <v>0</v>
      </c>
      <c r="F20" s="3">
        <f t="shared" si="0"/>
        <v>0</v>
      </c>
      <c r="G20" s="99">
        <f t="shared" si="1"/>
        <v>0</v>
      </c>
      <c r="H20" s="92"/>
      <c r="I20" s="142">
        <v>0</v>
      </c>
    </row>
    <row r="21" spans="1:10" s="31" customFormat="1" ht="16.5" customHeight="1" x14ac:dyDescent="0.3">
      <c r="A21" s="75"/>
      <c r="B21" s="146" t="s">
        <v>93</v>
      </c>
      <c r="C21" s="92"/>
      <c r="D21" s="151">
        <v>0</v>
      </c>
      <c r="E21" s="152">
        <v>0</v>
      </c>
      <c r="F21" s="152">
        <f t="shared" si="0"/>
        <v>0</v>
      </c>
      <c r="G21" s="149">
        <f t="shared" si="1"/>
        <v>0</v>
      </c>
      <c r="H21" s="92"/>
      <c r="I21" s="150">
        <v>0</v>
      </c>
    </row>
    <row r="22" spans="1:10" s="26" customFormat="1" ht="16.5" customHeight="1" x14ac:dyDescent="0.3">
      <c r="A22" s="78"/>
      <c r="B22" s="103" t="s">
        <v>19</v>
      </c>
      <c r="C22" s="93"/>
      <c r="D22" s="77">
        <v>2157289</v>
      </c>
      <c r="E22" s="76">
        <v>2098673.5399999996</v>
      </c>
      <c r="F22" s="76">
        <f t="shared" si="0"/>
        <v>-58615.460000000428</v>
      </c>
      <c r="G22" s="98">
        <f t="shared" si="1"/>
        <v>0.97282911098142144</v>
      </c>
      <c r="H22" s="93"/>
      <c r="I22" s="156">
        <v>2002805.24</v>
      </c>
    </row>
    <row r="23" spans="1:10" s="31" customFormat="1" ht="16.5" customHeight="1" x14ac:dyDescent="0.3">
      <c r="A23" s="79">
        <v>21</v>
      </c>
      <c r="B23" s="104" t="s">
        <v>20</v>
      </c>
      <c r="C23" s="92"/>
      <c r="D23" s="80">
        <v>2157289</v>
      </c>
      <c r="E23" s="52">
        <v>2098673.5399999996</v>
      </c>
      <c r="F23" s="52">
        <f t="shared" si="0"/>
        <v>-58615.460000000428</v>
      </c>
      <c r="G23" s="99">
        <f t="shared" si="1"/>
        <v>0.97282911098142144</v>
      </c>
      <c r="H23" s="92"/>
      <c r="I23" s="100">
        <v>2002805.24</v>
      </c>
    </row>
    <row r="24" spans="1:10" s="26" customFormat="1" ht="16.5" customHeight="1" x14ac:dyDescent="0.3">
      <c r="A24" s="78"/>
      <c r="B24" s="103" t="s">
        <v>21</v>
      </c>
      <c r="C24" s="93"/>
      <c r="D24" s="77">
        <v>99382694</v>
      </c>
      <c r="E24" s="76">
        <v>118230068.33999999</v>
      </c>
      <c r="F24" s="76">
        <f t="shared" si="0"/>
        <v>18847374.339999989</v>
      </c>
      <c r="G24" s="98">
        <f t="shared" si="1"/>
        <v>1.1896444298440934</v>
      </c>
      <c r="H24" s="93"/>
      <c r="I24" s="156">
        <v>112740295.72</v>
      </c>
    </row>
    <row r="25" spans="1:10" s="31" customFormat="1" ht="16.5" customHeight="1" x14ac:dyDescent="0.3">
      <c r="A25" s="79">
        <v>22</v>
      </c>
      <c r="B25" s="104" t="s">
        <v>22</v>
      </c>
      <c r="C25" s="92"/>
      <c r="D25" s="80">
        <v>4591219</v>
      </c>
      <c r="E25" s="52">
        <v>4293329.2</v>
      </c>
      <c r="F25" s="52">
        <f t="shared" si="0"/>
        <v>-297889.79999999981</v>
      </c>
      <c r="G25" s="99">
        <f t="shared" si="1"/>
        <v>0.93511749276172629</v>
      </c>
      <c r="H25" s="92"/>
      <c r="I25" s="100">
        <v>4207384.16</v>
      </c>
    </row>
    <row r="26" spans="1:10" s="31" customFormat="1" ht="16.5" customHeight="1" x14ac:dyDescent="0.3">
      <c r="A26" s="79">
        <v>23</v>
      </c>
      <c r="B26" s="104" t="s">
        <v>23</v>
      </c>
      <c r="C26" s="92"/>
      <c r="D26" s="80">
        <v>41230800</v>
      </c>
      <c r="E26" s="52">
        <v>57685589.340000004</v>
      </c>
      <c r="F26" s="52">
        <f t="shared" si="0"/>
        <v>16454789.340000004</v>
      </c>
      <c r="G26" s="99">
        <f t="shared" si="1"/>
        <v>1.399089742134521</v>
      </c>
      <c r="H26" s="92"/>
      <c r="I26" s="100">
        <v>51784686.770000003</v>
      </c>
    </row>
    <row r="27" spans="1:10" s="31" customFormat="1" ht="16.5" customHeight="1" x14ac:dyDescent="0.3">
      <c r="A27" s="79">
        <v>24</v>
      </c>
      <c r="B27" s="104" t="s">
        <v>24</v>
      </c>
      <c r="C27" s="92"/>
      <c r="D27" s="307">
        <v>0</v>
      </c>
      <c r="E27" s="308">
        <v>0</v>
      </c>
      <c r="F27" s="308">
        <f t="shared" si="0"/>
        <v>0</v>
      </c>
      <c r="G27" s="99">
        <f t="shared" si="1"/>
        <v>0</v>
      </c>
      <c r="H27" s="92"/>
      <c r="I27" s="309">
        <v>0</v>
      </c>
    </row>
    <row r="28" spans="1:10" s="31" customFormat="1" ht="16.5" customHeight="1" x14ac:dyDescent="0.3">
      <c r="A28" s="79">
        <v>25</v>
      </c>
      <c r="B28" s="104" t="s">
        <v>25</v>
      </c>
      <c r="C28" s="92"/>
      <c r="D28" s="80">
        <v>19594154</v>
      </c>
      <c r="E28" s="52">
        <v>16948085.34</v>
      </c>
      <c r="F28" s="52">
        <f t="shared" si="0"/>
        <v>-2646068.66</v>
      </c>
      <c r="G28" s="99">
        <f t="shared" si="1"/>
        <v>0.8649562180638164</v>
      </c>
      <c r="H28" s="92"/>
      <c r="I28" s="100">
        <v>20981397.239999998</v>
      </c>
    </row>
    <row r="29" spans="1:10" s="31" customFormat="1" ht="16.5" customHeight="1" x14ac:dyDescent="0.3">
      <c r="A29" s="79">
        <v>26</v>
      </c>
      <c r="B29" s="104" t="s">
        <v>26</v>
      </c>
      <c r="C29" s="92"/>
      <c r="D29" s="80">
        <v>3361231</v>
      </c>
      <c r="E29" s="52">
        <v>3684296.4299999997</v>
      </c>
      <c r="F29" s="52">
        <f t="shared" si="0"/>
        <v>323065.4299999997</v>
      </c>
      <c r="G29" s="99">
        <f t="shared" si="1"/>
        <v>1.0961152119565718</v>
      </c>
      <c r="H29" s="92"/>
      <c r="I29" s="100">
        <v>3389508.5</v>
      </c>
    </row>
    <row r="30" spans="1:10" s="31" customFormat="1" ht="16.5" customHeight="1" x14ac:dyDescent="0.3">
      <c r="A30" s="79">
        <v>27</v>
      </c>
      <c r="B30" s="104" t="s">
        <v>27</v>
      </c>
      <c r="C30" s="92"/>
      <c r="D30" s="80">
        <v>26946</v>
      </c>
      <c r="E30" s="52">
        <v>183407.56</v>
      </c>
      <c r="F30" s="52">
        <f t="shared" si="0"/>
        <v>156461.56</v>
      </c>
      <c r="G30" s="99">
        <f t="shared" si="1"/>
        <v>6.8064855637200328</v>
      </c>
      <c r="H30" s="92"/>
      <c r="I30" s="100">
        <v>174576</v>
      </c>
    </row>
    <row r="31" spans="1:10" s="31" customFormat="1" ht="16.5" customHeight="1" x14ac:dyDescent="0.3">
      <c r="A31" s="79">
        <v>28</v>
      </c>
      <c r="B31" s="104" t="s">
        <v>28</v>
      </c>
      <c r="C31" s="92"/>
      <c r="D31" s="80">
        <v>6156304</v>
      </c>
      <c r="E31" s="52">
        <v>6420742.6499999994</v>
      </c>
      <c r="F31" s="52">
        <f t="shared" si="0"/>
        <v>264438.64999999944</v>
      </c>
      <c r="G31" s="99">
        <f t="shared" si="1"/>
        <v>1.0429541247475758</v>
      </c>
      <c r="H31" s="92"/>
      <c r="I31" s="100">
        <v>6290333.4900000002</v>
      </c>
    </row>
    <row r="32" spans="1:10" s="31" customFormat="1" ht="16.5" customHeight="1" x14ac:dyDescent="0.3">
      <c r="A32" s="79">
        <v>29</v>
      </c>
      <c r="B32" s="104" t="s">
        <v>29</v>
      </c>
      <c r="C32" s="92"/>
      <c r="D32" s="80">
        <v>819982</v>
      </c>
      <c r="E32" s="52">
        <v>1646155.2</v>
      </c>
      <c r="F32" s="52">
        <f t="shared" si="0"/>
        <v>826173.2</v>
      </c>
      <c r="G32" s="99">
        <f t="shared" si="1"/>
        <v>2.0075504096431382</v>
      </c>
      <c r="H32" s="92"/>
      <c r="I32" s="100">
        <v>890040</v>
      </c>
    </row>
    <row r="33" spans="1:9" s="31" customFormat="1" ht="16.5" customHeight="1" x14ac:dyDescent="0.3">
      <c r="A33" s="79">
        <v>30</v>
      </c>
      <c r="B33" s="104" t="s">
        <v>30</v>
      </c>
      <c r="C33" s="92"/>
      <c r="D33" s="80">
        <v>8561828</v>
      </c>
      <c r="E33" s="52">
        <v>8112363.1800000016</v>
      </c>
      <c r="F33" s="52">
        <f t="shared" si="0"/>
        <v>-449464.81999999844</v>
      </c>
      <c r="G33" s="99">
        <f t="shared" si="1"/>
        <v>0.94750363824174011</v>
      </c>
      <c r="H33" s="92"/>
      <c r="I33" s="100">
        <v>8063170.0999999987</v>
      </c>
    </row>
    <row r="34" spans="1:9" s="31" customFormat="1" ht="16.5" customHeight="1" x14ac:dyDescent="0.3">
      <c r="A34" s="79">
        <v>31</v>
      </c>
      <c r="B34" s="104" t="s">
        <v>31</v>
      </c>
      <c r="C34" s="92"/>
      <c r="D34" s="80">
        <v>0</v>
      </c>
      <c r="E34" s="308">
        <v>0</v>
      </c>
      <c r="F34" s="52">
        <f t="shared" si="0"/>
        <v>0</v>
      </c>
      <c r="G34" s="99">
        <f t="shared" si="1"/>
        <v>0</v>
      </c>
      <c r="H34" s="92"/>
      <c r="I34" s="309">
        <v>0</v>
      </c>
    </row>
    <row r="35" spans="1:9" s="31" customFormat="1" ht="16.5" customHeight="1" x14ac:dyDescent="0.3">
      <c r="A35" s="79">
        <v>32</v>
      </c>
      <c r="B35" s="104" t="s">
        <v>32</v>
      </c>
      <c r="C35" s="92"/>
      <c r="D35" s="80">
        <v>4465920</v>
      </c>
      <c r="E35" s="52">
        <v>6210122</v>
      </c>
      <c r="F35" s="52">
        <f t="shared" ref="F35:F66" si="2">E35-D35</f>
        <v>1744202</v>
      </c>
      <c r="G35" s="99">
        <f t="shared" ref="G35:G69" si="3">IFERROR(E35/D35,0)</f>
        <v>1.3905582724276297</v>
      </c>
      <c r="H35" s="92"/>
      <c r="I35" s="100">
        <v>4551601</v>
      </c>
    </row>
    <row r="36" spans="1:9" s="31" customFormat="1" ht="16.5" customHeight="1" x14ac:dyDescent="0.3">
      <c r="A36" s="79">
        <v>33</v>
      </c>
      <c r="B36" s="104" t="s">
        <v>33</v>
      </c>
      <c r="C36" s="92"/>
      <c r="D36" s="307">
        <v>0</v>
      </c>
      <c r="E36" s="308">
        <v>0</v>
      </c>
      <c r="F36" s="308">
        <f t="shared" si="2"/>
        <v>0</v>
      </c>
      <c r="G36" s="99">
        <f t="shared" si="3"/>
        <v>0</v>
      </c>
      <c r="H36" s="92"/>
      <c r="I36" s="309">
        <v>0</v>
      </c>
    </row>
    <row r="37" spans="1:9" s="31" customFormat="1" ht="16.5" customHeight="1" x14ac:dyDescent="0.3">
      <c r="A37" s="79">
        <v>34</v>
      </c>
      <c r="B37" s="104" t="s">
        <v>34</v>
      </c>
      <c r="C37" s="92"/>
      <c r="D37" s="80">
        <v>10574310</v>
      </c>
      <c r="E37" s="52">
        <v>13045977.440000001</v>
      </c>
      <c r="F37" s="52">
        <f t="shared" si="2"/>
        <v>2471667.4400000013</v>
      </c>
      <c r="G37" s="99">
        <f t="shared" si="3"/>
        <v>1.2337426687887911</v>
      </c>
      <c r="H37" s="92"/>
      <c r="I37" s="100">
        <v>12407598.459999999</v>
      </c>
    </row>
    <row r="38" spans="1:9" s="26" customFormat="1" ht="16.5" customHeight="1" x14ac:dyDescent="0.3">
      <c r="A38" s="78"/>
      <c r="B38" s="103" t="s">
        <v>35</v>
      </c>
      <c r="C38" s="93"/>
      <c r="D38" s="77">
        <v>0</v>
      </c>
      <c r="E38" s="76">
        <v>474434.06999999995</v>
      </c>
      <c r="F38" s="76">
        <f t="shared" si="2"/>
        <v>474434.06999999995</v>
      </c>
      <c r="G38" s="98">
        <f t="shared" si="3"/>
        <v>0</v>
      </c>
      <c r="H38" s="93"/>
      <c r="I38" s="156">
        <v>205919.53</v>
      </c>
    </row>
    <row r="39" spans="1:9" s="31" customFormat="1" ht="16.5" customHeight="1" x14ac:dyDescent="0.3">
      <c r="A39" s="79">
        <v>35</v>
      </c>
      <c r="B39" s="104" t="s">
        <v>36</v>
      </c>
      <c r="C39" s="92"/>
      <c r="D39" s="80">
        <v>0</v>
      </c>
      <c r="E39" s="52">
        <v>474434.06999999995</v>
      </c>
      <c r="F39" s="52">
        <f t="shared" si="2"/>
        <v>474434.06999999995</v>
      </c>
      <c r="G39" s="99">
        <f t="shared" si="3"/>
        <v>0</v>
      </c>
      <c r="H39" s="92"/>
      <c r="I39" s="100">
        <v>205919.53</v>
      </c>
    </row>
    <row r="40" spans="1:9" s="26" customFormat="1" ht="16.5" customHeight="1" x14ac:dyDescent="0.3">
      <c r="A40" s="78"/>
      <c r="B40" s="103" t="s">
        <v>37</v>
      </c>
      <c r="C40" s="93"/>
      <c r="D40" s="77">
        <v>0</v>
      </c>
      <c r="E40" s="76">
        <v>62250</v>
      </c>
      <c r="F40" s="76">
        <f t="shared" si="2"/>
        <v>62250</v>
      </c>
      <c r="G40" s="98">
        <f t="shared" si="3"/>
        <v>0</v>
      </c>
      <c r="H40" s="93"/>
      <c r="I40" s="156">
        <v>75860</v>
      </c>
    </row>
    <row r="41" spans="1:9" s="31" customFormat="1" ht="16.5" customHeight="1" x14ac:dyDescent="0.3">
      <c r="A41" s="79">
        <v>36</v>
      </c>
      <c r="B41" s="104" t="s">
        <v>38</v>
      </c>
      <c r="C41" s="92"/>
      <c r="D41" s="80">
        <v>0</v>
      </c>
      <c r="E41" s="52">
        <v>62250</v>
      </c>
      <c r="F41" s="52">
        <f t="shared" si="2"/>
        <v>62250</v>
      </c>
      <c r="G41" s="99">
        <f t="shared" si="3"/>
        <v>0</v>
      </c>
      <c r="H41" s="92"/>
      <c r="I41" s="100">
        <v>75860</v>
      </c>
    </row>
    <row r="42" spans="1:9" s="26" customFormat="1" ht="16.5" customHeight="1" x14ac:dyDescent="0.3">
      <c r="A42" s="78"/>
      <c r="B42" s="103" t="s">
        <v>39</v>
      </c>
      <c r="C42" s="93"/>
      <c r="D42" s="77">
        <v>87996</v>
      </c>
      <c r="E42" s="76">
        <v>132255.09</v>
      </c>
      <c r="F42" s="76">
        <f t="shared" si="2"/>
        <v>44259.09</v>
      </c>
      <c r="G42" s="98">
        <f t="shared" si="3"/>
        <v>1.5029670666848494</v>
      </c>
      <c r="H42" s="93"/>
      <c r="I42" s="156">
        <v>182044.98</v>
      </c>
    </row>
    <row r="43" spans="1:9" s="31" customFormat="1" ht="16.5" customHeight="1" x14ac:dyDescent="0.3">
      <c r="A43" s="79">
        <v>37</v>
      </c>
      <c r="B43" s="104" t="s">
        <v>40</v>
      </c>
      <c r="C43" s="92"/>
      <c r="D43" s="80">
        <v>87996</v>
      </c>
      <c r="E43" s="52">
        <v>132255.09</v>
      </c>
      <c r="F43" s="52">
        <f t="shared" si="2"/>
        <v>44259.09</v>
      </c>
      <c r="G43" s="99">
        <f t="shared" si="3"/>
        <v>1.5029670666848494</v>
      </c>
      <c r="H43" s="92"/>
      <c r="I43" s="100">
        <v>182044.98</v>
      </c>
    </row>
    <row r="44" spans="1:9" s="31" customFormat="1" ht="16.5" customHeight="1" x14ac:dyDescent="0.3">
      <c r="A44" s="75"/>
      <c r="B44" s="146" t="s">
        <v>94</v>
      </c>
      <c r="C44" s="92"/>
      <c r="D44" s="147">
        <v>101627979</v>
      </c>
      <c r="E44" s="148">
        <v>120997681.03999999</v>
      </c>
      <c r="F44" s="148">
        <f t="shared" si="2"/>
        <v>19369702.039999992</v>
      </c>
      <c r="G44" s="149">
        <f t="shared" si="3"/>
        <v>1.1905941870594514</v>
      </c>
      <c r="H44" s="92"/>
      <c r="I44" s="150">
        <v>115206925.47</v>
      </c>
    </row>
    <row r="45" spans="1:9" s="31" customFormat="1" x14ac:dyDescent="0.3">
      <c r="A45" s="79">
        <v>38</v>
      </c>
      <c r="B45" s="104" t="s">
        <v>42</v>
      </c>
      <c r="C45" s="92"/>
      <c r="D45" s="80">
        <v>14401221</v>
      </c>
      <c r="E45" s="52">
        <v>24833918.399999999</v>
      </c>
      <c r="F45" s="52">
        <f t="shared" si="2"/>
        <v>10432697.399999999</v>
      </c>
      <c r="G45" s="99">
        <f t="shared" si="3"/>
        <v>1.7244314492500323</v>
      </c>
      <c r="H45" s="92"/>
      <c r="I45" s="100">
        <v>25917618.369999997</v>
      </c>
    </row>
    <row r="46" spans="1:9" s="31" customFormat="1" ht="16.5" customHeight="1" x14ac:dyDescent="0.3">
      <c r="A46" s="75"/>
      <c r="B46" s="146" t="s">
        <v>96</v>
      </c>
      <c r="C46" s="92"/>
      <c r="D46" s="147">
        <v>14401221</v>
      </c>
      <c r="E46" s="148">
        <v>24833918.399999999</v>
      </c>
      <c r="F46" s="148">
        <f t="shared" si="2"/>
        <v>10432697.399999999</v>
      </c>
      <c r="G46" s="149">
        <f t="shared" si="3"/>
        <v>1.7244314492500323</v>
      </c>
      <c r="H46" s="92"/>
      <c r="I46" s="150">
        <v>25917618.369999997</v>
      </c>
    </row>
    <row r="47" spans="1:9" s="31" customFormat="1" ht="16.5" customHeight="1" x14ac:dyDescent="0.3">
      <c r="A47" s="79">
        <v>39</v>
      </c>
      <c r="B47" s="104" t="s">
        <v>44</v>
      </c>
      <c r="C47" s="92"/>
      <c r="D47" s="80">
        <v>19525776</v>
      </c>
      <c r="E47" s="52">
        <v>72803061.219999999</v>
      </c>
      <c r="F47" s="52">
        <f t="shared" si="2"/>
        <v>53277285.219999999</v>
      </c>
      <c r="G47" s="99">
        <f t="shared" si="3"/>
        <v>3.7285617339869104</v>
      </c>
      <c r="H47" s="92"/>
      <c r="I47" s="100">
        <v>40420420.439999998</v>
      </c>
    </row>
    <row r="48" spans="1:9" s="31" customFormat="1" ht="16.5" customHeight="1" x14ac:dyDescent="0.3">
      <c r="A48" s="75"/>
      <c r="B48" s="146" t="s">
        <v>97</v>
      </c>
      <c r="C48" s="92"/>
      <c r="D48" s="147">
        <v>19525776</v>
      </c>
      <c r="E48" s="148">
        <v>72803061.219999999</v>
      </c>
      <c r="F48" s="148">
        <f t="shared" si="2"/>
        <v>53277285.219999999</v>
      </c>
      <c r="G48" s="149">
        <f t="shared" si="3"/>
        <v>3.7285617339869104</v>
      </c>
      <c r="H48" s="92"/>
      <c r="I48" s="150">
        <v>40420420.439999998</v>
      </c>
    </row>
    <row r="49" spans="1:9" s="31" customFormat="1" ht="15" customHeight="1" x14ac:dyDescent="0.3">
      <c r="A49" s="47"/>
      <c r="B49" s="153" t="s">
        <v>46</v>
      </c>
      <c r="C49" s="91"/>
      <c r="D49" s="201">
        <v>595668439</v>
      </c>
      <c r="E49" s="201">
        <v>750227545.32999992</v>
      </c>
      <c r="F49" s="201">
        <f t="shared" si="2"/>
        <v>154559106.32999992</v>
      </c>
      <c r="G49" s="202">
        <f t="shared" si="3"/>
        <v>1.2594717064235796</v>
      </c>
      <c r="H49" s="91"/>
      <c r="I49" s="157">
        <v>695774266.9000001</v>
      </c>
    </row>
    <row r="50" spans="1:9" s="26" customFormat="1" ht="16.5" customHeight="1" x14ac:dyDescent="0.3">
      <c r="A50" s="35">
        <v>43</v>
      </c>
      <c r="B50" s="103" t="s">
        <v>47</v>
      </c>
      <c r="C50" s="90"/>
      <c r="D50" s="77">
        <f>D51+D52+D53+D54+D55+D56+D57+D58+D59+D60</f>
        <v>258990439</v>
      </c>
      <c r="E50" s="77">
        <f>E51+E52+E53+E54+E55+E56+E57+E58+E59+E60</f>
        <v>273160250.30000001</v>
      </c>
      <c r="F50" s="3">
        <f>E50-D50</f>
        <v>14169811.300000012</v>
      </c>
      <c r="G50" s="97">
        <f t="shared" si="3"/>
        <v>1.0547117158251544</v>
      </c>
      <c r="H50" s="90"/>
      <c r="I50" s="156">
        <f>I51+I52+I53+I54+I55+I56+I57+I58+I59+I60</f>
        <v>245313859</v>
      </c>
    </row>
    <row r="51" spans="1:9" s="26" customFormat="1" ht="14.25" customHeight="1" x14ac:dyDescent="0.3">
      <c r="A51" s="29"/>
      <c r="B51" s="102" t="s">
        <v>48</v>
      </c>
      <c r="C51" s="90"/>
      <c r="D51" s="34">
        <v>145993243</v>
      </c>
      <c r="E51" s="3">
        <v>147142819.30000001</v>
      </c>
      <c r="F51" s="3">
        <v>-3699390</v>
      </c>
      <c r="G51" s="96">
        <v>0.95164259543574092</v>
      </c>
      <c r="H51" s="90"/>
      <c r="I51" s="1">
        <v>138890329</v>
      </c>
    </row>
    <row r="52" spans="1:9" s="26" customFormat="1" ht="14.25" customHeight="1" x14ac:dyDescent="0.3">
      <c r="A52" s="29"/>
      <c r="B52" s="102" t="s">
        <v>49</v>
      </c>
      <c r="C52" s="90"/>
      <c r="D52" s="34">
        <v>45450802</v>
      </c>
      <c r="E52" s="3">
        <v>46160426</v>
      </c>
      <c r="F52" s="3">
        <v>569353</v>
      </c>
      <c r="G52" s="96">
        <v>1.0248041739626248</v>
      </c>
      <c r="H52" s="90"/>
      <c r="I52" s="1">
        <v>44108098</v>
      </c>
    </row>
    <row r="53" spans="1:9" s="26" customFormat="1" ht="14.25" customHeight="1" x14ac:dyDescent="0.3">
      <c r="A53" s="29"/>
      <c r="B53" s="102" t="s">
        <v>50</v>
      </c>
      <c r="C53" s="90"/>
      <c r="D53" s="34">
        <v>3453862</v>
      </c>
      <c r="E53" s="3">
        <v>4373976</v>
      </c>
      <c r="F53" s="3">
        <v>276941</v>
      </c>
      <c r="G53" s="96">
        <v>1.1789068465504968</v>
      </c>
      <c r="H53" s="90"/>
      <c r="I53" s="1">
        <v>3608961</v>
      </c>
    </row>
    <row r="54" spans="1:9" s="26" customFormat="1" ht="14.25" customHeight="1" x14ac:dyDescent="0.3">
      <c r="A54" s="29"/>
      <c r="B54" s="102" t="s">
        <v>51</v>
      </c>
      <c r="C54" s="90"/>
      <c r="D54" s="34">
        <v>9391681</v>
      </c>
      <c r="E54" s="3">
        <v>9280104</v>
      </c>
      <c r="F54" s="3">
        <v>-627673</v>
      </c>
      <c r="G54" s="96">
        <v>0.87101213692988688</v>
      </c>
      <c r="H54" s="90"/>
      <c r="I54" s="1">
        <v>9241731</v>
      </c>
    </row>
    <row r="55" spans="1:9" s="26" customFormat="1" ht="14.25" customHeight="1" x14ac:dyDescent="0.3">
      <c r="A55" s="29"/>
      <c r="B55" s="102" t="s">
        <v>52</v>
      </c>
      <c r="C55" s="90"/>
      <c r="D55" s="34">
        <v>10148013</v>
      </c>
      <c r="E55" s="3">
        <v>10110277</v>
      </c>
      <c r="F55" s="3">
        <v>144761</v>
      </c>
      <c r="G55" s="96">
        <v>1.028800055069081</v>
      </c>
      <c r="H55" s="90"/>
      <c r="I55" s="1">
        <v>10597347</v>
      </c>
    </row>
    <row r="56" spans="1:9" s="26" customFormat="1" ht="14.25" customHeight="1" x14ac:dyDescent="0.3">
      <c r="A56" s="29"/>
      <c r="B56" s="102" t="s">
        <v>53</v>
      </c>
      <c r="C56" s="90"/>
      <c r="D56" s="143">
        <v>0</v>
      </c>
      <c r="E56" s="3">
        <v>5366</v>
      </c>
      <c r="F56" s="3">
        <v>2490</v>
      </c>
      <c r="G56" s="96">
        <v>0</v>
      </c>
      <c r="H56" s="90"/>
      <c r="I56" s="1">
        <v>11696</v>
      </c>
    </row>
    <row r="57" spans="1:9" s="26" customFormat="1" ht="14.25" customHeight="1" x14ac:dyDescent="0.3">
      <c r="A57" s="29"/>
      <c r="B57" s="102" t="s">
        <v>54</v>
      </c>
      <c r="C57" s="90"/>
      <c r="D57" s="34">
        <v>3358955</v>
      </c>
      <c r="E57" s="3">
        <v>4734070</v>
      </c>
      <c r="F57" s="3">
        <v>840883</v>
      </c>
      <c r="G57" s="96">
        <v>1.4967036381367891</v>
      </c>
      <c r="H57" s="90"/>
      <c r="I57" s="1">
        <v>4413443</v>
      </c>
    </row>
    <row r="58" spans="1:9" s="26" customFormat="1" ht="14.25" customHeight="1" x14ac:dyDescent="0.3">
      <c r="A58" s="29"/>
      <c r="B58" s="102" t="s">
        <v>55</v>
      </c>
      <c r="C58" s="90"/>
      <c r="D58" s="34">
        <v>362754</v>
      </c>
      <c r="E58" s="3">
        <v>353415</v>
      </c>
      <c r="F58" s="3">
        <v>-6069</v>
      </c>
      <c r="G58" s="96">
        <v>0.96840592837844164</v>
      </c>
      <c r="H58" s="90"/>
      <c r="I58" s="1">
        <v>323174</v>
      </c>
    </row>
    <row r="59" spans="1:9" s="26" customFormat="1" ht="14.25" customHeight="1" x14ac:dyDescent="0.3">
      <c r="A59" s="29"/>
      <c r="B59" s="102" t="s">
        <v>56</v>
      </c>
      <c r="C59" s="90"/>
      <c r="D59" s="143">
        <v>0</v>
      </c>
      <c r="E59" s="144">
        <v>0</v>
      </c>
      <c r="F59" s="144">
        <v>0</v>
      </c>
      <c r="G59" s="96">
        <v>0</v>
      </c>
      <c r="H59" s="90"/>
      <c r="I59" s="145">
        <v>0</v>
      </c>
    </row>
    <row r="60" spans="1:9" s="31" customFormat="1" ht="14.25" customHeight="1" x14ac:dyDescent="0.3">
      <c r="A60" s="29"/>
      <c r="B60" s="102" t="s">
        <v>57</v>
      </c>
      <c r="C60" s="91"/>
      <c r="D60" s="34">
        <v>40831129</v>
      </c>
      <c r="E60" s="3">
        <v>50999797</v>
      </c>
      <c r="F60" s="3">
        <v>-2726327</v>
      </c>
      <c r="G60" s="96">
        <v>0.87243216893532516</v>
      </c>
      <c r="H60" s="91"/>
      <c r="I60" s="3">
        <v>34119080</v>
      </c>
    </row>
    <row r="61" spans="1:9" s="26" customFormat="1" ht="16.5" customHeight="1" x14ac:dyDescent="0.3">
      <c r="A61" s="78">
        <v>44</v>
      </c>
      <c r="B61" s="103" t="s">
        <v>59</v>
      </c>
      <c r="C61" s="93"/>
      <c r="D61" s="77">
        <f>D62+D63</f>
        <v>87202072</v>
      </c>
      <c r="E61" s="77">
        <f>E62+E63</f>
        <v>100738462.23</v>
      </c>
      <c r="F61" s="76">
        <f t="shared" si="2"/>
        <v>13536390.230000004</v>
      </c>
      <c r="G61" s="98">
        <f>IFERROR(E61/#REF!,0)</f>
        <v>0</v>
      </c>
      <c r="H61" s="93"/>
      <c r="I61" s="77">
        <f>I62+I63</f>
        <v>80420672</v>
      </c>
    </row>
    <row r="62" spans="1:9" s="31" customFormat="1" ht="16.5" customHeight="1" x14ac:dyDescent="0.3">
      <c r="A62" s="79"/>
      <c r="B62" s="104" t="s">
        <v>60</v>
      </c>
      <c r="C62" s="92"/>
      <c r="D62" s="52">
        <v>7966422</v>
      </c>
      <c r="E62" s="52">
        <v>9709532.2300000004</v>
      </c>
      <c r="F62" s="52">
        <v>871540</v>
      </c>
      <c r="G62" s="99">
        <v>1.2188034273864548</v>
      </c>
      <c r="H62" s="92"/>
      <c r="I62" s="100">
        <v>7244532</v>
      </c>
    </row>
    <row r="63" spans="1:9" s="31" customFormat="1" ht="16.5" customHeight="1" x14ac:dyDescent="0.3">
      <c r="A63" s="79"/>
      <c r="B63" s="104" t="s">
        <v>61</v>
      </c>
      <c r="C63" s="92"/>
      <c r="D63" s="52">
        <v>79235650</v>
      </c>
      <c r="E63" s="52">
        <v>91028930</v>
      </c>
      <c r="F63" s="52">
        <v>5896640</v>
      </c>
      <c r="G63" s="99">
        <v>1.1488380545878023</v>
      </c>
      <c r="H63" s="92"/>
      <c r="I63" s="100">
        <v>73176140</v>
      </c>
    </row>
    <row r="64" spans="1:9" s="31" customFormat="1" ht="16.5" customHeight="1" x14ac:dyDescent="0.3">
      <c r="A64" s="75"/>
      <c r="B64" s="146" t="s">
        <v>95</v>
      </c>
      <c r="C64" s="92"/>
      <c r="D64" s="148">
        <f>D61+D50</f>
        <v>346192511</v>
      </c>
      <c r="E64" s="148">
        <f>E61+E50</f>
        <v>373898712.53000003</v>
      </c>
      <c r="F64" s="148">
        <f t="shared" si="2"/>
        <v>27706201.530000031</v>
      </c>
      <c r="G64" s="149">
        <f t="shared" si="3"/>
        <v>1.0800311983929658</v>
      </c>
      <c r="H64" s="92"/>
      <c r="I64" s="148">
        <f>I50+I61</f>
        <v>325734531</v>
      </c>
    </row>
    <row r="65" spans="1:9" s="26" customFormat="1" ht="16.5" customHeight="1" x14ac:dyDescent="0.3">
      <c r="A65" s="79">
        <v>45</v>
      </c>
      <c r="B65" s="103" t="s">
        <v>63</v>
      </c>
      <c r="C65" s="93"/>
      <c r="D65" s="76">
        <v>0</v>
      </c>
      <c r="E65" s="76">
        <v>92149575.129999995</v>
      </c>
      <c r="F65" s="76">
        <v>53764281.640000001</v>
      </c>
      <c r="G65" s="96"/>
      <c r="H65" s="93"/>
      <c r="I65" s="155">
        <v>250751027.38000003</v>
      </c>
    </row>
    <row r="66" spans="1:9" s="31" customFormat="1" ht="12.75" customHeight="1" x14ac:dyDescent="0.3">
      <c r="A66" s="47"/>
      <c r="B66" s="153" t="s">
        <v>64</v>
      </c>
      <c r="C66" s="91"/>
      <c r="D66" s="201">
        <f>D65+D64</f>
        <v>346192511</v>
      </c>
      <c r="E66" s="201">
        <f>E65+E64</f>
        <v>466048287.66000003</v>
      </c>
      <c r="F66" s="201">
        <f t="shared" si="2"/>
        <v>119855776.66000003</v>
      </c>
      <c r="G66" s="202">
        <f t="shared" si="3"/>
        <v>1.3462113501929567</v>
      </c>
      <c r="H66" s="91"/>
      <c r="I66" s="157">
        <f>I65+I64</f>
        <v>576485558.38</v>
      </c>
    </row>
    <row r="67" spans="1:9" s="26" customFormat="1" ht="13.5" customHeight="1" x14ac:dyDescent="0.3">
      <c r="A67" s="35">
        <v>46</v>
      </c>
      <c r="B67" s="105" t="s">
        <v>65</v>
      </c>
      <c r="C67" s="90"/>
      <c r="D67" s="304">
        <v>0</v>
      </c>
      <c r="E67" s="305">
        <v>0</v>
      </c>
      <c r="F67" s="305">
        <f>E67-D67</f>
        <v>0</v>
      </c>
      <c r="G67" s="97">
        <f t="shared" si="3"/>
        <v>0</v>
      </c>
      <c r="H67" s="90"/>
      <c r="I67" s="305">
        <v>0</v>
      </c>
    </row>
    <row r="68" spans="1:9" s="26" customFormat="1" ht="13.5" customHeight="1" x14ac:dyDescent="0.3">
      <c r="A68" s="35">
        <v>47</v>
      </c>
      <c r="B68" s="105" t="s">
        <v>66</v>
      </c>
      <c r="C68" s="90"/>
      <c r="D68" s="304">
        <v>0</v>
      </c>
      <c r="E68" s="305">
        <v>0</v>
      </c>
      <c r="F68" s="305">
        <f>E68-D68</f>
        <v>0</v>
      </c>
      <c r="G68" s="97">
        <f t="shared" si="3"/>
        <v>0</v>
      </c>
      <c r="H68" s="90"/>
      <c r="I68" s="306">
        <v>0</v>
      </c>
    </row>
    <row r="69" spans="1:9" s="31" customFormat="1" ht="21.75" customHeight="1" x14ac:dyDescent="0.3">
      <c r="A69" s="47"/>
      <c r="B69" s="153" t="s">
        <v>67</v>
      </c>
      <c r="C69" s="91"/>
      <c r="D69" s="201">
        <f>D66+D49</f>
        <v>941860950</v>
      </c>
      <c r="E69" s="201">
        <f>E66+E49</f>
        <v>1216275832.99</v>
      </c>
      <c r="F69" s="201">
        <f>E69-D69</f>
        <v>274414882.99000001</v>
      </c>
      <c r="G69" s="202">
        <f t="shared" si="3"/>
        <v>1.2913539233047087</v>
      </c>
      <c r="H69" s="91"/>
      <c r="I69" s="157">
        <f>I66+I49</f>
        <v>1272259825.2800002</v>
      </c>
    </row>
    <row r="70" spans="1:9" ht="16.5" customHeight="1" x14ac:dyDescent="0.3">
      <c r="D70" s="69"/>
      <c r="E70" s="69"/>
      <c r="I70" s="314"/>
    </row>
    <row r="71" spans="1:9" x14ac:dyDescent="0.3">
      <c r="D71" s="58"/>
      <c r="E71" s="58"/>
      <c r="F71" s="58"/>
      <c r="G71" s="59"/>
      <c r="I71" s="58"/>
    </row>
    <row r="72" spans="1:9" s="31" customFormat="1" ht="16.5" hidden="1" customHeight="1" x14ac:dyDescent="0.3">
      <c r="A72" s="47"/>
      <c r="B72" s="85" t="s">
        <v>68</v>
      </c>
      <c r="D72" s="87"/>
      <c r="E72" s="88"/>
      <c r="F72" s="88"/>
      <c r="G72" s="88"/>
      <c r="I72" s="87"/>
    </row>
    <row r="73" spans="1:9" ht="12.75" hidden="1" customHeight="1" x14ac:dyDescent="0.3"/>
    <row r="74" spans="1:9" s="64" customFormat="1" ht="12.75" hidden="1" customHeight="1" x14ac:dyDescent="0.3">
      <c r="A74" s="63"/>
    </row>
    <row r="75" spans="1:9" s="31" customFormat="1" ht="16.5" hidden="1" customHeight="1" x14ac:dyDescent="0.3">
      <c r="A75" s="47"/>
      <c r="B75" s="85" t="s">
        <v>69</v>
      </c>
      <c r="D75" s="87"/>
      <c r="E75" s="88"/>
      <c r="F75" s="88"/>
      <c r="G75" s="88"/>
      <c r="I75" s="87"/>
    </row>
    <row r="76" spans="1:9" ht="12.75" customHeight="1" x14ac:dyDescent="0.3"/>
    <row r="77" spans="1:9" ht="12.75" customHeight="1" x14ac:dyDescent="0.3">
      <c r="E77" s="58"/>
    </row>
    <row r="78" spans="1:9" x14ac:dyDescent="0.3">
      <c r="I78" s="58"/>
    </row>
    <row r="80" spans="1:9" x14ac:dyDescent="0.3">
      <c r="D80" s="58"/>
      <c r="E80" s="58"/>
      <c r="F80" s="58"/>
      <c r="G80" s="58"/>
      <c r="I80" s="71"/>
    </row>
    <row r="82" spans="5:5" x14ac:dyDescent="0.3">
      <c r="E82" s="58"/>
    </row>
    <row r="86" spans="5:5" x14ac:dyDescent="0.3">
      <c r="E86" s="58"/>
    </row>
  </sheetData>
  <mergeCells count="4">
    <mergeCell ref="A1:A2"/>
    <mergeCell ref="B1:B2"/>
    <mergeCell ref="I1:I2"/>
    <mergeCell ref="D1:G1"/>
  </mergeCells>
  <conditionalFormatting sqref="F3:F69">
    <cfRule type="cellIs" dxfId="1" priority="1" operator="lessThan">
      <formula>0</formula>
    </cfRule>
  </conditionalFormatting>
  <printOptions horizontalCentered="1" verticalCentered="1"/>
  <pageMargins left="0.70866141732283472" right="0.70866141732283472" top="0.75624999999999998" bottom="0.42625000000000002" header="0.14218749999999999" footer="9.1874999999999998E-2"/>
  <pageSetup scale="64" orientation="portrait" r:id="rId1"/>
  <headerFooter>
    <oddHeader>&amp;L&amp;G&amp;C&amp;"Arial Narrow,Normal"&amp;10Secretaría de Tesorería y Finanzas
Dirección de Ingresos
&amp;"Arial Narrow,Negrita"Avance  Acumulado de Ingresos</oddHeader>
  </headerFooter>
  <colBreaks count="1" manualBreakCount="1">
    <brk id="9" max="1048575" man="1"/>
  </colBreaks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82"/>
  <sheetViews>
    <sheetView showGridLines="0" zoomScaleNormal="100" zoomScalePageLayoutView="75" workbookViewId="0">
      <selection activeCell="B1" sqref="B1:B2"/>
    </sheetView>
  </sheetViews>
  <sheetFormatPr baseColWidth="10" defaultColWidth="11.44140625" defaultRowHeight="13.8" x14ac:dyDescent="0.25"/>
  <cols>
    <col min="1" max="1" width="5.44140625" style="108" customWidth="1"/>
    <col min="2" max="2" width="80.6640625" style="106" customWidth="1"/>
    <col min="3" max="3" width="1.6640625" style="106" customWidth="1"/>
    <col min="4" max="4" width="13.6640625" style="106" bestFit="1" customWidth="1"/>
    <col min="5" max="5" width="13.44140625" style="106" customWidth="1"/>
    <col min="6" max="6" width="12.88671875" style="106" customWidth="1"/>
    <col min="7" max="7" width="7.6640625" style="106" customWidth="1"/>
    <col min="8" max="8" width="1.44140625" style="106" customWidth="1"/>
    <col min="9" max="9" width="12.44140625" style="106" bestFit="1" customWidth="1"/>
    <col min="10" max="16384" width="11.44140625" style="106"/>
  </cols>
  <sheetData>
    <row r="1" spans="1:9" ht="16.5" customHeight="1" x14ac:dyDescent="0.25">
      <c r="A1" s="448" t="s">
        <v>0</v>
      </c>
      <c r="B1" s="448" t="s">
        <v>91</v>
      </c>
      <c r="D1" s="453" t="s">
        <v>90</v>
      </c>
      <c r="E1" s="454"/>
      <c r="F1" s="454"/>
      <c r="G1" s="455"/>
      <c r="I1" s="448">
        <v>2018</v>
      </c>
    </row>
    <row r="2" spans="1:9" x14ac:dyDescent="0.25">
      <c r="A2" s="449"/>
      <c r="B2" s="449"/>
      <c r="D2" s="107" t="s">
        <v>71</v>
      </c>
      <c r="E2" s="107" t="s">
        <v>72</v>
      </c>
      <c r="F2" s="107" t="s">
        <v>73</v>
      </c>
      <c r="G2" s="107" t="s">
        <v>74</v>
      </c>
      <c r="I2" s="449"/>
    </row>
    <row r="3" spans="1:9" ht="4.5" customHeight="1" x14ac:dyDescent="0.25"/>
    <row r="4" spans="1:9" s="129" customFormat="1" ht="19.5" customHeight="1" x14ac:dyDescent="0.3">
      <c r="A4" s="118"/>
      <c r="B4" s="128" t="s">
        <v>3</v>
      </c>
      <c r="C4" s="120"/>
      <c r="D4" s="121">
        <v>2195344.0000000005</v>
      </c>
      <c r="E4" s="121">
        <v>1266587</v>
      </c>
      <c r="F4" s="121">
        <f t="shared" ref="F4:F50" si="0">E4-D4</f>
        <v>-928757.00000000047</v>
      </c>
      <c r="G4" s="122">
        <f t="shared" ref="G4:G50" si="1">IFERROR(E4/D4,0)</f>
        <v>0.57694238351711613</v>
      </c>
      <c r="H4" s="120"/>
      <c r="I4" s="121">
        <v>2004437</v>
      </c>
    </row>
    <row r="5" spans="1:9" s="111" customFormat="1" ht="19.5" customHeight="1" x14ac:dyDescent="0.3">
      <c r="A5" s="110">
        <v>12</v>
      </c>
      <c r="B5" s="130" t="s">
        <v>4</v>
      </c>
      <c r="D5" s="112">
        <v>2195344.0000000005</v>
      </c>
      <c r="E5" s="112">
        <v>1266587</v>
      </c>
      <c r="F5" s="112">
        <f t="shared" si="0"/>
        <v>-928757.00000000047</v>
      </c>
      <c r="G5" s="113">
        <f t="shared" si="1"/>
        <v>0.57694238351711613</v>
      </c>
      <c r="I5" s="112">
        <v>2004437</v>
      </c>
    </row>
    <row r="6" spans="1:9" s="129" customFormat="1" ht="19.5" customHeight="1" x14ac:dyDescent="0.3">
      <c r="A6" s="119"/>
      <c r="B6" s="131" t="s">
        <v>5</v>
      </c>
      <c r="C6" s="120"/>
      <c r="D6" s="109">
        <v>519983041.99999994</v>
      </c>
      <c r="E6" s="109">
        <v>400486329.38</v>
      </c>
      <c r="F6" s="109">
        <f t="shared" si="0"/>
        <v>-119496712.61999995</v>
      </c>
      <c r="G6" s="116">
        <f t="shared" si="1"/>
        <v>0.77019113515628845</v>
      </c>
      <c r="H6" s="120"/>
      <c r="I6" s="109">
        <v>546491623.07999992</v>
      </c>
    </row>
    <row r="7" spans="1:9" s="111" customFormat="1" ht="19.5" customHeight="1" x14ac:dyDescent="0.3">
      <c r="A7" s="110">
        <v>13</v>
      </c>
      <c r="B7" s="130" t="s">
        <v>6</v>
      </c>
      <c r="D7" s="112">
        <v>204655760</v>
      </c>
      <c r="E7" s="112">
        <v>207505661.62999997</v>
      </c>
      <c r="F7" s="112">
        <f t="shared" si="0"/>
        <v>2849901.6299999654</v>
      </c>
      <c r="G7" s="113">
        <f t="shared" si="1"/>
        <v>1.0139253428782067</v>
      </c>
      <c r="I7" s="112">
        <v>203342770.72</v>
      </c>
    </row>
    <row r="8" spans="1:9" s="111" customFormat="1" ht="19.5" customHeight="1" x14ac:dyDescent="0.3">
      <c r="A8" s="110">
        <v>14</v>
      </c>
      <c r="B8" s="130" t="s">
        <v>7</v>
      </c>
      <c r="D8" s="112">
        <v>306763227</v>
      </c>
      <c r="E8" s="112">
        <v>186233676.93000001</v>
      </c>
      <c r="F8" s="112">
        <f t="shared" si="0"/>
        <v>-120529550.06999999</v>
      </c>
      <c r="G8" s="113">
        <f t="shared" si="1"/>
        <v>0.6070925734850221</v>
      </c>
      <c r="I8" s="112">
        <v>327735860.44000006</v>
      </c>
    </row>
    <row r="9" spans="1:9" s="111" customFormat="1" ht="19.5" customHeight="1" x14ac:dyDescent="0.3">
      <c r="A9" s="110">
        <v>15</v>
      </c>
      <c r="B9" s="130" t="s">
        <v>8</v>
      </c>
      <c r="D9" s="112">
        <v>8564054.9999999981</v>
      </c>
      <c r="E9" s="112">
        <v>6746990.8200000003</v>
      </c>
      <c r="F9" s="112">
        <f t="shared" si="0"/>
        <v>-1817064.1799999978</v>
      </c>
      <c r="G9" s="113">
        <f t="shared" si="1"/>
        <v>0.7878266568815826</v>
      </c>
      <c r="I9" s="112">
        <v>15412991.920000004</v>
      </c>
    </row>
    <row r="10" spans="1:9" s="129" customFormat="1" ht="19.5" customHeight="1" x14ac:dyDescent="0.3">
      <c r="A10" s="119"/>
      <c r="B10" s="131" t="s">
        <v>9</v>
      </c>
      <c r="C10" s="120"/>
      <c r="D10" s="109">
        <v>18802140</v>
      </c>
      <c r="E10" s="109">
        <v>10150739.540000001</v>
      </c>
      <c r="F10" s="109">
        <f t="shared" si="0"/>
        <v>-8651400.459999999</v>
      </c>
      <c r="G10" s="116">
        <f t="shared" si="1"/>
        <v>0.53987150079724977</v>
      </c>
      <c r="H10" s="120"/>
      <c r="I10" s="109">
        <v>16022347.07</v>
      </c>
    </row>
    <row r="11" spans="1:9" s="111" customFormat="1" ht="19.5" customHeight="1" x14ac:dyDescent="0.3">
      <c r="A11" s="110">
        <v>16</v>
      </c>
      <c r="B11" s="130" t="s">
        <v>10</v>
      </c>
      <c r="D11" s="112">
        <v>18802140</v>
      </c>
      <c r="E11" s="112">
        <v>10150739.540000001</v>
      </c>
      <c r="F11" s="112">
        <f t="shared" si="0"/>
        <v>-8651400.459999999</v>
      </c>
      <c r="G11" s="113">
        <f t="shared" si="1"/>
        <v>0.53987150079724977</v>
      </c>
      <c r="I11" s="112">
        <v>16022347.07</v>
      </c>
    </row>
    <row r="12" spans="1:9" s="129" customFormat="1" ht="19.5" customHeight="1" x14ac:dyDescent="0.3">
      <c r="A12" s="119"/>
      <c r="B12" s="131" t="s">
        <v>11</v>
      </c>
      <c r="C12" s="120"/>
      <c r="D12" s="109">
        <v>672729</v>
      </c>
      <c r="E12" s="109">
        <v>799583.06</v>
      </c>
      <c r="F12" s="109">
        <f t="shared" si="0"/>
        <v>126854.06000000006</v>
      </c>
      <c r="G12" s="116">
        <f t="shared" si="1"/>
        <v>1.1885663617890712</v>
      </c>
      <c r="H12" s="120"/>
      <c r="I12" s="109">
        <v>2408395.37</v>
      </c>
    </row>
    <row r="13" spans="1:9" s="111" customFormat="1" ht="19.5" customHeight="1" x14ac:dyDescent="0.3">
      <c r="A13" s="110">
        <v>17</v>
      </c>
      <c r="B13" s="130" t="s">
        <v>12</v>
      </c>
      <c r="D13" s="112">
        <v>672729</v>
      </c>
      <c r="E13" s="112">
        <v>799583.06</v>
      </c>
      <c r="F13" s="112">
        <f t="shared" si="0"/>
        <v>126854.06000000006</v>
      </c>
      <c r="G13" s="113">
        <f t="shared" si="1"/>
        <v>1.1885663617890712</v>
      </c>
      <c r="I13" s="112">
        <v>2408395.37</v>
      </c>
    </row>
    <row r="14" spans="1:9" s="129" customFormat="1" ht="19.5" customHeight="1" x14ac:dyDescent="0.3">
      <c r="A14" s="119"/>
      <c r="B14" s="131" t="s">
        <v>13</v>
      </c>
      <c r="C14" s="120"/>
      <c r="D14" s="109">
        <v>60144766</v>
      </c>
      <c r="E14" s="109">
        <v>58494274.11999999</v>
      </c>
      <c r="F14" s="109">
        <f t="shared" si="0"/>
        <v>-1650491.8800000101</v>
      </c>
      <c r="G14" s="116">
        <f t="shared" si="1"/>
        <v>0.97255801311123213</v>
      </c>
      <c r="H14" s="120"/>
      <c r="I14" s="109">
        <v>60245678.900000006</v>
      </c>
    </row>
    <row r="15" spans="1:9" s="111" customFormat="1" ht="19.5" customHeight="1" x14ac:dyDescent="0.3">
      <c r="A15" s="110">
        <v>18</v>
      </c>
      <c r="B15" s="130" t="s">
        <v>6</v>
      </c>
      <c r="D15" s="112">
        <v>40175172</v>
      </c>
      <c r="E15" s="112">
        <v>21679441.200000003</v>
      </c>
      <c r="F15" s="112">
        <f t="shared" si="0"/>
        <v>-18495730.799999997</v>
      </c>
      <c r="G15" s="113">
        <f t="shared" si="1"/>
        <v>0.53962285961090606</v>
      </c>
      <c r="I15" s="112">
        <v>36461348.829999998</v>
      </c>
    </row>
    <row r="16" spans="1:9" s="111" customFormat="1" ht="19.5" customHeight="1" x14ac:dyDescent="0.3">
      <c r="A16" s="110"/>
      <c r="B16" s="130" t="s">
        <v>7</v>
      </c>
      <c r="D16" s="112">
        <v>19272170</v>
      </c>
      <c r="E16" s="112">
        <v>35265475.749999993</v>
      </c>
      <c r="F16" s="112">
        <f t="shared" si="0"/>
        <v>15993305.749999993</v>
      </c>
      <c r="G16" s="113">
        <f t="shared" si="1"/>
        <v>1.829865331719261</v>
      </c>
      <c r="I16" s="112">
        <v>22233515.259999998</v>
      </c>
    </row>
    <row r="17" spans="1:9" s="111" customFormat="1" ht="19.5" customHeight="1" x14ac:dyDescent="0.3">
      <c r="A17" s="110"/>
      <c r="B17" s="130" t="s">
        <v>8</v>
      </c>
      <c r="D17" s="112">
        <v>697424</v>
      </c>
      <c r="E17" s="112">
        <v>1549357.17</v>
      </c>
      <c r="F17" s="112">
        <f t="shared" si="0"/>
        <v>851933.16999999993</v>
      </c>
      <c r="G17" s="113">
        <f t="shared" si="1"/>
        <v>2.2215426627130697</v>
      </c>
      <c r="I17" s="112">
        <v>1550814.81</v>
      </c>
    </row>
    <row r="18" spans="1:9" s="111" customFormat="1" ht="19.5" customHeight="1" x14ac:dyDescent="0.3">
      <c r="A18" s="114"/>
      <c r="B18" s="159" t="s">
        <v>14</v>
      </c>
      <c r="C18" s="115"/>
      <c r="D18" s="140">
        <v>601798021.00000012</v>
      </c>
      <c r="E18" s="140">
        <v>471197513.09999996</v>
      </c>
      <c r="F18" s="140">
        <f t="shared" si="0"/>
        <v>-130600507.90000015</v>
      </c>
      <c r="G18" s="141">
        <f t="shared" si="1"/>
        <v>0.78298282257063101</v>
      </c>
      <c r="H18" s="115"/>
      <c r="I18" s="140">
        <v>627172481.41999996</v>
      </c>
    </row>
    <row r="19" spans="1:9" s="129" customFormat="1" ht="19.5" customHeight="1" x14ac:dyDescent="0.3">
      <c r="A19" s="114"/>
      <c r="B19" s="132" t="s">
        <v>15</v>
      </c>
      <c r="C19" s="123"/>
      <c r="D19" s="311">
        <v>0</v>
      </c>
      <c r="E19" s="311">
        <v>0</v>
      </c>
      <c r="F19" s="311">
        <f t="shared" si="0"/>
        <v>0</v>
      </c>
      <c r="G19" s="116">
        <f t="shared" si="1"/>
        <v>0</v>
      </c>
      <c r="H19" s="123"/>
      <c r="I19" s="109">
        <v>0</v>
      </c>
    </row>
    <row r="20" spans="1:9" s="111" customFormat="1" ht="19.5" customHeight="1" x14ac:dyDescent="0.3">
      <c r="A20" s="117">
        <v>19</v>
      </c>
      <c r="B20" s="133" t="s">
        <v>16</v>
      </c>
      <c r="C20" s="115"/>
      <c r="D20" s="310">
        <v>0</v>
      </c>
      <c r="E20" s="310">
        <v>0</v>
      </c>
      <c r="F20" s="310">
        <f t="shared" si="0"/>
        <v>0</v>
      </c>
      <c r="G20" s="113">
        <f t="shared" si="1"/>
        <v>0</v>
      </c>
      <c r="H20" s="115"/>
      <c r="I20" s="112">
        <v>0</v>
      </c>
    </row>
    <row r="21" spans="1:9" s="111" customFormat="1" ht="19.5" customHeight="1" x14ac:dyDescent="0.3">
      <c r="A21" s="117">
        <v>20</v>
      </c>
      <c r="B21" s="133" t="s">
        <v>17</v>
      </c>
      <c r="C21" s="115"/>
      <c r="D21" s="310">
        <v>0</v>
      </c>
      <c r="E21" s="310">
        <v>0</v>
      </c>
      <c r="F21" s="310">
        <f t="shared" si="0"/>
        <v>0</v>
      </c>
      <c r="G21" s="113">
        <f t="shared" si="1"/>
        <v>0</v>
      </c>
      <c r="H21" s="115"/>
      <c r="I21" s="310">
        <v>0</v>
      </c>
    </row>
    <row r="22" spans="1:9" s="111" customFormat="1" ht="19.5" customHeight="1" x14ac:dyDescent="0.3">
      <c r="A22" s="114"/>
      <c r="B22" s="159" t="s">
        <v>18</v>
      </c>
      <c r="C22" s="115"/>
      <c r="D22" s="312">
        <v>0</v>
      </c>
      <c r="E22" s="312">
        <v>0</v>
      </c>
      <c r="F22" s="312">
        <f t="shared" si="0"/>
        <v>0</v>
      </c>
      <c r="G22" s="141">
        <f t="shared" si="1"/>
        <v>0</v>
      </c>
      <c r="H22" s="115"/>
      <c r="I22" s="140">
        <v>0</v>
      </c>
    </row>
    <row r="23" spans="1:9" s="129" customFormat="1" ht="19.5" customHeight="1" x14ac:dyDescent="0.3">
      <c r="A23" s="114"/>
      <c r="B23" s="132" t="s">
        <v>19</v>
      </c>
      <c r="C23" s="123"/>
      <c r="D23" s="109">
        <v>2781653</v>
      </c>
      <c r="E23" s="109">
        <v>1949514.71</v>
      </c>
      <c r="F23" s="109">
        <f t="shared" si="0"/>
        <v>-832138.29</v>
      </c>
      <c r="G23" s="116">
        <f t="shared" si="1"/>
        <v>0.70084755718991543</v>
      </c>
      <c r="H23" s="123"/>
      <c r="I23" s="109">
        <v>2339440.8799999994</v>
      </c>
    </row>
    <row r="24" spans="1:9" s="111" customFormat="1" ht="19.5" customHeight="1" x14ac:dyDescent="0.3">
      <c r="A24" s="117">
        <v>21</v>
      </c>
      <c r="B24" s="133" t="s">
        <v>20</v>
      </c>
      <c r="C24" s="115"/>
      <c r="D24" s="112">
        <v>2781653</v>
      </c>
      <c r="E24" s="112">
        <v>1949514.71</v>
      </c>
      <c r="F24" s="112">
        <f t="shared" si="0"/>
        <v>-832138.29</v>
      </c>
      <c r="G24" s="113">
        <f t="shared" si="1"/>
        <v>0.70084755718991543</v>
      </c>
      <c r="H24" s="115"/>
      <c r="I24" s="112">
        <v>2339440.8799999994</v>
      </c>
    </row>
    <row r="25" spans="1:9" s="129" customFormat="1" ht="19.5" customHeight="1" x14ac:dyDescent="0.3">
      <c r="A25" s="114"/>
      <c r="B25" s="132" t="s">
        <v>21</v>
      </c>
      <c r="C25" s="123"/>
      <c r="D25" s="109">
        <v>145425948.99999997</v>
      </c>
      <c r="E25" s="109">
        <v>89585185</v>
      </c>
      <c r="F25" s="109">
        <f t="shared" si="0"/>
        <v>-55840763.99999997</v>
      </c>
      <c r="G25" s="116">
        <f t="shared" si="1"/>
        <v>0.61601925664586876</v>
      </c>
      <c r="H25" s="123"/>
      <c r="I25" s="109">
        <v>136689339.91999999</v>
      </c>
    </row>
    <row r="26" spans="1:9" s="111" customFormat="1" ht="16.5" customHeight="1" x14ac:dyDescent="0.3">
      <c r="A26" s="117">
        <v>22</v>
      </c>
      <c r="B26" s="133" t="s">
        <v>22</v>
      </c>
      <c r="C26" s="115"/>
      <c r="D26" s="112">
        <v>5927896</v>
      </c>
      <c r="E26" s="112">
        <v>3890699.9800000004</v>
      </c>
      <c r="F26" s="112">
        <f t="shared" si="0"/>
        <v>-2037196.0199999996</v>
      </c>
      <c r="G26" s="113">
        <f t="shared" si="1"/>
        <v>0.6563374222489734</v>
      </c>
      <c r="H26" s="115"/>
      <c r="I26" s="112">
        <v>4442905.7300000004</v>
      </c>
    </row>
    <row r="27" spans="1:9" s="111" customFormat="1" ht="16.5" customHeight="1" x14ac:dyDescent="0.3">
      <c r="A27" s="117">
        <v>23</v>
      </c>
      <c r="B27" s="133" t="s">
        <v>23</v>
      </c>
      <c r="C27" s="115"/>
      <c r="D27" s="112">
        <v>60478415.000000007</v>
      </c>
      <c r="E27" s="112">
        <v>28647267.969999999</v>
      </c>
      <c r="F27" s="112">
        <f t="shared" si="0"/>
        <v>-31831147.030000009</v>
      </c>
      <c r="G27" s="113">
        <f t="shared" si="1"/>
        <v>0.47367755867940647</v>
      </c>
      <c r="H27" s="115"/>
      <c r="I27" s="112">
        <v>69290056.680000007</v>
      </c>
    </row>
    <row r="28" spans="1:9" s="111" customFormat="1" ht="16.5" customHeight="1" x14ac:dyDescent="0.3">
      <c r="A28" s="117">
        <v>24</v>
      </c>
      <c r="B28" s="133" t="s">
        <v>24</v>
      </c>
      <c r="C28" s="115"/>
      <c r="D28" s="158">
        <v>0</v>
      </c>
      <c r="E28" s="158">
        <v>0</v>
      </c>
      <c r="F28" s="158">
        <f t="shared" si="0"/>
        <v>0</v>
      </c>
      <c r="G28" s="113">
        <f t="shared" si="1"/>
        <v>0</v>
      </c>
      <c r="H28" s="115"/>
      <c r="I28" s="158">
        <v>0</v>
      </c>
    </row>
    <row r="29" spans="1:9" s="111" customFormat="1" ht="16.5" customHeight="1" x14ac:dyDescent="0.3">
      <c r="A29" s="117">
        <v>25</v>
      </c>
      <c r="B29" s="133" t="s">
        <v>25</v>
      </c>
      <c r="C29" s="115"/>
      <c r="D29" s="112">
        <v>26032729.999999993</v>
      </c>
      <c r="E29" s="112">
        <v>27590826.970000003</v>
      </c>
      <c r="F29" s="112">
        <f t="shared" si="0"/>
        <v>1558096.97000001</v>
      </c>
      <c r="G29" s="113">
        <f t="shared" si="1"/>
        <v>1.059851462754771</v>
      </c>
      <c r="H29" s="115"/>
      <c r="I29" s="112">
        <v>16984125.539999999</v>
      </c>
    </row>
    <row r="30" spans="1:9" s="111" customFormat="1" ht="16.5" customHeight="1" x14ac:dyDescent="0.3">
      <c r="A30" s="117">
        <v>26</v>
      </c>
      <c r="B30" s="133" t="s">
        <v>26</v>
      </c>
      <c r="C30" s="115"/>
      <c r="D30" s="112">
        <v>4488442</v>
      </c>
      <c r="E30" s="112">
        <v>3207096</v>
      </c>
      <c r="F30" s="112">
        <f t="shared" si="0"/>
        <v>-1281346</v>
      </c>
      <c r="G30" s="113">
        <f t="shared" si="1"/>
        <v>0.71452321317731182</v>
      </c>
      <c r="H30" s="115"/>
      <c r="I30" s="112">
        <v>4342477.43</v>
      </c>
    </row>
    <row r="31" spans="1:9" s="111" customFormat="1" ht="16.5" customHeight="1" x14ac:dyDescent="0.3">
      <c r="A31" s="117">
        <v>27</v>
      </c>
      <c r="B31" s="133" t="s">
        <v>27</v>
      </c>
      <c r="C31" s="115"/>
      <c r="D31" s="112">
        <v>201641</v>
      </c>
      <c r="E31" s="112">
        <v>4200</v>
      </c>
      <c r="F31" s="112">
        <f t="shared" si="0"/>
        <v>-197441</v>
      </c>
      <c r="G31" s="113">
        <f t="shared" si="1"/>
        <v>2.0829097257006265E-2</v>
      </c>
      <c r="H31" s="115"/>
      <c r="I31" s="112">
        <v>218836.81</v>
      </c>
    </row>
    <row r="32" spans="1:9" s="111" customFormat="1" ht="16.5" customHeight="1" x14ac:dyDescent="0.3">
      <c r="A32" s="117">
        <v>28</v>
      </c>
      <c r="B32" s="133" t="s">
        <v>28</v>
      </c>
      <c r="C32" s="115"/>
      <c r="D32" s="112">
        <v>8791246</v>
      </c>
      <c r="E32" s="112">
        <v>6201300.2300000004</v>
      </c>
      <c r="F32" s="112">
        <f t="shared" si="0"/>
        <v>-2589945.7699999996</v>
      </c>
      <c r="G32" s="113">
        <f t="shared" si="1"/>
        <v>0.70539491557851985</v>
      </c>
      <c r="H32" s="115"/>
      <c r="I32" s="112">
        <v>6959837.2199999988</v>
      </c>
    </row>
    <row r="33" spans="1:9" s="111" customFormat="1" ht="16.5" customHeight="1" x14ac:dyDescent="0.3">
      <c r="A33" s="117">
        <v>29</v>
      </c>
      <c r="B33" s="133" t="s">
        <v>29</v>
      </c>
      <c r="C33" s="115"/>
      <c r="D33" s="112">
        <v>1661681</v>
      </c>
      <c r="E33" s="112">
        <v>1314735</v>
      </c>
      <c r="F33" s="112">
        <f t="shared" si="0"/>
        <v>-346946</v>
      </c>
      <c r="G33" s="113">
        <f t="shared" si="1"/>
        <v>0.79120781906996585</v>
      </c>
      <c r="H33" s="115"/>
      <c r="I33" s="112">
        <v>2181884.6</v>
      </c>
    </row>
    <row r="34" spans="1:9" s="111" customFormat="1" ht="16.5" customHeight="1" x14ac:dyDescent="0.3">
      <c r="A34" s="117">
        <v>30</v>
      </c>
      <c r="B34" s="133" t="s">
        <v>30</v>
      </c>
      <c r="C34" s="115"/>
      <c r="D34" s="112">
        <v>15517360.000000002</v>
      </c>
      <c r="E34" s="112">
        <v>6373820.1600000001</v>
      </c>
      <c r="F34" s="112">
        <f t="shared" si="0"/>
        <v>-9143539.8400000017</v>
      </c>
      <c r="G34" s="113">
        <f t="shared" si="1"/>
        <v>0.41075415921264952</v>
      </c>
      <c r="H34" s="115"/>
      <c r="I34" s="112">
        <v>9914122.0600000005</v>
      </c>
    </row>
    <row r="35" spans="1:9" s="111" customFormat="1" ht="16.5" customHeight="1" x14ac:dyDescent="0.3">
      <c r="A35" s="117">
        <v>31</v>
      </c>
      <c r="B35" s="133" t="s">
        <v>31</v>
      </c>
      <c r="C35" s="115"/>
      <c r="D35" s="112">
        <v>0</v>
      </c>
      <c r="E35" s="310">
        <v>0</v>
      </c>
      <c r="F35" s="112">
        <f t="shared" si="0"/>
        <v>0</v>
      </c>
      <c r="G35" s="113">
        <f t="shared" si="1"/>
        <v>0</v>
      </c>
      <c r="H35" s="115"/>
      <c r="I35" s="310">
        <v>0</v>
      </c>
    </row>
    <row r="36" spans="1:9" s="111" customFormat="1" ht="16.5" customHeight="1" x14ac:dyDescent="0.3">
      <c r="A36" s="117">
        <v>32</v>
      </c>
      <c r="B36" s="133" t="s">
        <v>32</v>
      </c>
      <c r="C36" s="115"/>
      <c r="D36" s="112">
        <v>9462164</v>
      </c>
      <c r="E36" s="112">
        <v>1672440</v>
      </c>
      <c r="F36" s="112">
        <f t="shared" si="0"/>
        <v>-7789724</v>
      </c>
      <c r="G36" s="113">
        <f t="shared" si="1"/>
        <v>0.17675026558406723</v>
      </c>
      <c r="H36" s="115"/>
      <c r="I36" s="112">
        <v>6799454</v>
      </c>
    </row>
    <row r="37" spans="1:9" s="111" customFormat="1" ht="16.5" customHeight="1" x14ac:dyDescent="0.3">
      <c r="A37" s="117">
        <v>33</v>
      </c>
      <c r="B37" s="133" t="s">
        <v>33</v>
      </c>
      <c r="C37" s="115"/>
      <c r="D37" s="158">
        <v>0</v>
      </c>
      <c r="E37" s="158">
        <v>0</v>
      </c>
      <c r="F37" s="158">
        <f t="shared" si="0"/>
        <v>0</v>
      </c>
      <c r="G37" s="113">
        <f t="shared" si="1"/>
        <v>0</v>
      </c>
      <c r="H37" s="115"/>
      <c r="I37" s="310">
        <v>0</v>
      </c>
    </row>
    <row r="38" spans="1:9" s="111" customFormat="1" ht="16.5" customHeight="1" x14ac:dyDescent="0.3">
      <c r="A38" s="117">
        <v>34</v>
      </c>
      <c r="B38" s="133" t="s">
        <v>34</v>
      </c>
      <c r="C38" s="115"/>
      <c r="D38" s="112">
        <v>12864374</v>
      </c>
      <c r="E38" s="112">
        <v>10682798.690000001</v>
      </c>
      <c r="F38" s="112">
        <f t="shared" si="0"/>
        <v>-2181575.3099999987</v>
      </c>
      <c r="G38" s="113">
        <f t="shared" si="1"/>
        <v>0.83041729741377246</v>
      </c>
      <c r="H38" s="115"/>
      <c r="I38" s="112">
        <v>15555639.850000001</v>
      </c>
    </row>
    <row r="39" spans="1:9" s="129" customFormat="1" ht="19.5" customHeight="1" x14ac:dyDescent="0.3">
      <c r="A39" s="114"/>
      <c r="B39" s="132" t="s">
        <v>35</v>
      </c>
      <c r="C39" s="123"/>
      <c r="D39" s="109">
        <v>0</v>
      </c>
      <c r="E39" s="109">
        <v>1388536.9000000001</v>
      </c>
      <c r="F39" s="109">
        <f t="shared" si="0"/>
        <v>1388536.9000000001</v>
      </c>
      <c r="G39" s="116">
        <f t="shared" si="1"/>
        <v>0</v>
      </c>
      <c r="H39" s="123"/>
      <c r="I39" s="109">
        <v>542751.26</v>
      </c>
    </row>
    <row r="40" spans="1:9" s="111" customFormat="1" ht="19.5" customHeight="1" x14ac:dyDescent="0.3">
      <c r="A40" s="117">
        <v>35</v>
      </c>
      <c r="B40" s="133" t="s">
        <v>36</v>
      </c>
      <c r="C40" s="115"/>
      <c r="D40" s="112">
        <v>0</v>
      </c>
      <c r="E40" s="112">
        <v>1388536.9000000001</v>
      </c>
      <c r="F40" s="112">
        <f t="shared" si="0"/>
        <v>1388536.9000000001</v>
      </c>
      <c r="G40" s="113">
        <f t="shared" si="1"/>
        <v>0</v>
      </c>
      <c r="H40" s="115"/>
      <c r="I40" s="112">
        <v>542751.26</v>
      </c>
    </row>
    <row r="41" spans="1:9" s="129" customFormat="1" ht="19.5" customHeight="1" x14ac:dyDescent="0.3">
      <c r="A41" s="114"/>
      <c r="B41" s="132" t="s">
        <v>37</v>
      </c>
      <c r="C41" s="123"/>
      <c r="D41" s="109">
        <v>0</v>
      </c>
      <c r="E41" s="109">
        <v>45300</v>
      </c>
      <c r="F41" s="109">
        <f t="shared" si="0"/>
        <v>45300</v>
      </c>
      <c r="G41" s="116">
        <f t="shared" si="1"/>
        <v>0</v>
      </c>
      <c r="H41" s="123"/>
      <c r="I41" s="109">
        <v>74550</v>
      </c>
    </row>
    <row r="42" spans="1:9" s="111" customFormat="1" ht="19.5" customHeight="1" x14ac:dyDescent="0.3">
      <c r="A42" s="117">
        <v>36</v>
      </c>
      <c r="B42" s="133" t="s">
        <v>38</v>
      </c>
      <c r="C42" s="115"/>
      <c r="D42" s="112">
        <v>0</v>
      </c>
      <c r="E42" s="112">
        <v>45300</v>
      </c>
      <c r="F42" s="112">
        <f t="shared" si="0"/>
        <v>45300</v>
      </c>
      <c r="G42" s="113">
        <f t="shared" si="1"/>
        <v>0</v>
      </c>
      <c r="H42" s="115"/>
      <c r="I42" s="112">
        <v>74550</v>
      </c>
    </row>
    <row r="43" spans="1:9" s="129" customFormat="1" ht="19.5" customHeight="1" x14ac:dyDescent="0.3">
      <c r="A43" s="114"/>
      <c r="B43" s="132" t="s">
        <v>39</v>
      </c>
      <c r="C43" s="123"/>
      <c r="D43" s="109">
        <v>214302</v>
      </c>
      <c r="E43" s="109">
        <v>289208</v>
      </c>
      <c r="F43" s="109">
        <f t="shared" si="0"/>
        <v>74906</v>
      </c>
      <c r="G43" s="116">
        <f t="shared" si="1"/>
        <v>1.3495347686909129</v>
      </c>
      <c r="H43" s="123"/>
      <c r="I43" s="109">
        <v>141585.09</v>
      </c>
    </row>
    <row r="44" spans="1:9" s="111" customFormat="1" ht="19.5" customHeight="1" x14ac:dyDescent="0.3">
      <c r="A44" s="117">
        <v>37</v>
      </c>
      <c r="B44" s="133" t="s">
        <v>40</v>
      </c>
      <c r="C44" s="115"/>
      <c r="D44" s="112">
        <v>214302</v>
      </c>
      <c r="E44" s="112">
        <v>289208</v>
      </c>
      <c r="F44" s="112">
        <f t="shared" si="0"/>
        <v>74906</v>
      </c>
      <c r="G44" s="113">
        <f t="shared" si="1"/>
        <v>1.3495347686909129</v>
      </c>
      <c r="H44" s="115"/>
      <c r="I44" s="112">
        <v>141585.09</v>
      </c>
    </row>
    <row r="45" spans="1:9" s="111" customFormat="1" ht="19.5" customHeight="1" x14ac:dyDescent="0.3">
      <c r="A45" s="114"/>
      <c r="B45" s="159" t="s">
        <v>41</v>
      </c>
      <c r="C45" s="115"/>
      <c r="D45" s="140">
        <v>148421904</v>
      </c>
      <c r="E45" s="140">
        <v>93257744.610000014</v>
      </c>
      <c r="F45" s="140">
        <f t="shared" si="0"/>
        <v>-55164159.389999986</v>
      </c>
      <c r="G45" s="141">
        <f t="shared" si="1"/>
        <v>0.62832871763995168</v>
      </c>
      <c r="H45" s="115"/>
      <c r="I45" s="140">
        <v>139787667.14999998</v>
      </c>
    </row>
    <row r="46" spans="1:9" s="111" customFormat="1" ht="19.5" customHeight="1" x14ac:dyDescent="0.3">
      <c r="A46" s="117">
        <v>38</v>
      </c>
      <c r="B46" s="133" t="s">
        <v>42</v>
      </c>
      <c r="C46" s="115"/>
      <c r="D46" s="112">
        <v>17463348</v>
      </c>
      <c r="E46" s="112">
        <v>17855692.039999999</v>
      </c>
      <c r="F46" s="112">
        <f t="shared" si="0"/>
        <v>392344.03999999911</v>
      </c>
      <c r="G46" s="113">
        <f t="shared" si="1"/>
        <v>1.0224667137137735</v>
      </c>
      <c r="H46" s="115"/>
      <c r="I46" s="112">
        <v>29170428.939999998</v>
      </c>
    </row>
    <row r="47" spans="1:9" s="111" customFormat="1" ht="19.5" customHeight="1" x14ac:dyDescent="0.3">
      <c r="A47" s="114"/>
      <c r="B47" s="159" t="s">
        <v>43</v>
      </c>
      <c r="C47" s="115"/>
      <c r="D47" s="140">
        <v>17463348</v>
      </c>
      <c r="E47" s="140">
        <v>17855692.039999999</v>
      </c>
      <c r="F47" s="140">
        <f t="shared" si="0"/>
        <v>392344.03999999911</v>
      </c>
      <c r="G47" s="141">
        <f t="shared" si="1"/>
        <v>1.0224667137137735</v>
      </c>
      <c r="H47" s="115"/>
      <c r="I47" s="140">
        <v>29170428.939999998</v>
      </c>
    </row>
    <row r="48" spans="1:9" s="111" customFormat="1" ht="19.5" customHeight="1" x14ac:dyDescent="0.3">
      <c r="A48" s="117">
        <v>39</v>
      </c>
      <c r="B48" s="133" t="s">
        <v>44</v>
      </c>
      <c r="C48" s="115"/>
      <c r="D48" s="112">
        <v>29109910.999999996</v>
      </c>
      <c r="E48" s="112">
        <v>16226477.68</v>
      </c>
      <c r="F48" s="112">
        <f t="shared" si="0"/>
        <v>-12883433.319999997</v>
      </c>
      <c r="G48" s="113">
        <f t="shared" si="1"/>
        <v>0.55742106803418268</v>
      </c>
      <c r="H48" s="115"/>
      <c r="I48" s="112">
        <v>78285683.789999992</v>
      </c>
    </row>
    <row r="49" spans="1:9" s="111" customFormat="1" ht="19.5" customHeight="1" x14ac:dyDescent="0.3">
      <c r="A49" s="114"/>
      <c r="B49" s="159" t="s">
        <v>45</v>
      </c>
      <c r="C49" s="115"/>
      <c r="D49" s="140">
        <v>29109910.999999996</v>
      </c>
      <c r="E49" s="140">
        <v>16226477.68</v>
      </c>
      <c r="F49" s="140">
        <f t="shared" si="0"/>
        <v>-12883433.319999997</v>
      </c>
      <c r="G49" s="141">
        <f t="shared" si="1"/>
        <v>0.55742106803418268</v>
      </c>
      <c r="H49" s="115"/>
      <c r="I49" s="140">
        <v>78285683.789999992</v>
      </c>
    </row>
    <row r="50" spans="1:9" s="111" customFormat="1" ht="19.5" customHeight="1" x14ac:dyDescent="0.3">
      <c r="A50" s="452" t="s">
        <v>46</v>
      </c>
      <c r="B50" s="451"/>
      <c r="C50" s="115"/>
      <c r="D50" s="124">
        <v>796793184</v>
      </c>
      <c r="E50" s="124">
        <v>598537427.42999995</v>
      </c>
      <c r="F50" s="124">
        <f t="shared" si="0"/>
        <v>-198255756.57000005</v>
      </c>
      <c r="G50" s="125">
        <f t="shared" si="1"/>
        <v>0.75118291603006482</v>
      </c>
      <c r="H50" s="115"/>
      <c r="I50" s="124">
        <v>874416261.29999995</v>
      </c>
    </row>
    <row r="51" spans="1:9" s="129" customFormat="1" ht="19.5" customHeight="1" x14ac:dyDescent="0.3">
      <c r="A51" s="110">
        <v>43</v>
      </c>
      <c r="B51" s="131" t="s">
        <v>47</v>
      </c>
      <c r="C51" s="120"/>
      <c r="D51" s="109"/>
      <c r="E51" s="109"/>
      <c r="F51" s="109"/>
      <c r="G51" s="116"/>
      <c r="H51" s="120"/>
      <c r="I51" s="109"/>
    </row>
    <row r="52" spans="1:9" s="129" customFormat="1" ht="16.5" customHeight="1" x14ac:dyDescent="0.3">
      <c r="A52" s="110"/>
      <c r="B52" s="130" t="s">
        <v>48</v>
      </c>
      <c r="C52" s="120"/>
      <c r="D52" s="112">
        <v>165089002</v>
      </c>
      <c r="E52" s="112">
        <v>110135416</v>
      </c>
      <c r="F52" s="112">
        <f t="shared" ref="F52:F61" si="2">E52-D52</f>
        <v>-54953586</v>
      </c>
      <c r="G52" s="113">
        <f t="shared" ref="G52:G61" si="3">IFERROR(E52/D52,0)</f>
        <v>0.66712751707106455</v>
      </c>
      <c r="H52" s="120"/>
      <c r="I52" s="112">
        <v>175862608.30000001</v>
      </c>
    </row>
    <row r="53" spans="1:9" s="129" customFormat="1" ht="16.5" customHeight="1" x14ac:dyDescent="0.3">
      <c r="A53" s="110"/>
      <c r="B53" s="130" t="s">
        <v>49</v>
      </c>
      <c r="C53" s="120"/>
      <c r="D53" s="112">
        <v>51995693</v>
      </c>
      <c r="E53" s="112">
        <v>32752528</v>
      </c>
      <c r="F53" s="112">
        <f t="shared" si="2"/>
        <v>-19243165</v>
      </c>
      <c r="G53" s="113">
        <f t="shared" si="3"/>
        <v>0.62990848107361508</v>
      </c>
      <c r="H53" s="120"/>
      <c r="I53" s="112">
        <v>55212059</v>
      </c>
    </row>
    <row r="54" spans="1:9" s="129" customFormat="1" ht="16.5" customHeight="1" x14ac:dyDescent="0.3">
      <c r="A54" s="110"/>
      <c r="B54" s="130" t="s">
        <v>50</v>
      </c>
      <c r="C54" s="120"/>
      <c r="D54" s="112">
        <v>3929433.0000000005</v>
      </c>
      <c r="E54" s="112">
        <v>3145127</v>
      </c>
      <c r="F54" s="112">
        <f t="shared" si="2"/>
        <v>-784306.00000000047</v>
      </c>
      <c r="G54" s="113">
        <f t="shared" si="3"/>
        <v>0.80040224632917767</v>
      </c>
      <c r="H54" s="120"/>
      <c r="I54" s="112">
        <v>5262243</v>
      </c>
    </row>
    <row r="55" spans="1:9" s="129" customFormat="1" ht="16.5" customHeight="1" x14ac:dyDescent="0.3">
      <c r="A55" s="110"/>
      <c r="B55" s="130" t="s">
        <v>51</v>
      </c>
      <c r="C55" s="120"/>
      <c r="D55" s="112">
        <v>10201671</v>
      </c>
      <c r="E55" s="112">
        <v>7549575</v>
      </c>
      <c r="F55" s="112">
        <f t="shared" si="2"/>
        <v>-2652096</v>
      </c>
      <c r="G55" s="113">
        <f t="shared" si="3"/>
        <v>0.74003317691778137</v>
      </c>
      <c r="H55" s="120"/>
      <c r="I55" s="112">
        <v>10414421</v>
      </c>
    </row>
    <row r="56" spans="1:9" s="129" customFormat="1" ht="16.5" customHeight="1" x14ac:dyDescent="0.3">
      <c r="A56" s="110"/>
      <c r="B56" s="130" t="s">
        <v>52</v>
      </c>
      <c r="C56" s="120"/>
      <c r="D56" s="112">
        <v>11916954</v>
      </c>
      <c r="E56" s="112">
        <v>6245606</v>
      </c>
      <c r="F56" s="112">
        <f t="shared" si="2"/>
        <v>-5671348</v>
      </c>
      <c r="G56" s="113">
        <f t="shared" si="3"/>
        <v>0.5240941603030439</v>
      </c>
      <c r="H56" s="120"/>
      <c r="I56" s="112">
        <v>11968447</v>
      </c>
    </row>
    <row r="57" spans="1:9" s="129" customFormat="1" ht="16.5" customHeight="1" x14ac:dyDescent="0.3">
      <c r="A57" s="110"/>
      <c r="B57" s="130" t="s">
        <v>53</v>
      </c>
      <c r="C57" s="120"/>
      <c r="D57" s="158">
        <v>0</v>
      </c>
      <c r="E57" s="112">
        <v>1176</v>
      </c>
      <c r="F57" s="112">
        <f t="shared" si="2"/>
        <v>1176</v>
      </c>
      <c r="G57" s="113">
        <f t="shared" si="3"/>
        <v>0</v>
      </c>
      <c r="H57" s="120"/>
      <c r="I57" s="112">
        <v>5613</v>
      </c>
    </row>
    <row r="58" spans="1:9" s="129" customFormat="1" ht="16.5" customHeight="1" x14ac:dyDescent="0.3">
      <c r="A58" s="110"/>
      <c r="B58" s="130" t="s">
        <v>54</v>
      </c>
      <c r="C58" s="120"/>
      <c r="D58" s="112">
        <v>4849294.8166372711</v>
      </c>
      <c r="E58" s="112">
        <v>3007942</v>
      </c>
      <c r="F58" s="112">
        <f t="shared" si="2"/>
        <v>-1841352.8166372711</v>
      </c>
      <c r="G58" s="113">
        <f t="shared" si="3"/>
        <v>0.62028441530924461</v>
      </c>
      <c r="H58" s="120"/>
      <c r="I58" s="112">
        <v>5715243</v>
      </c>
    </row>
    <row r="59" spans="1:9" s="129" customFormat="1" ht="24" customHeight="1" x14ac:dyDescent="0.3">
      <c r="A59" s="110"/>
      <c r="B59" s="134" t="s">
        <v>55</v>
      </c>
      <c r="C59" s="120"/>
      <c r="D59" s="112">
        <v>417587.87292366428</v>
      </c>
      <c r="E59" s="112">
        <v>236119</v>
      </c>
      <c r="F59" s="112">
        <f t="shared" si="2"/>
        <v>-181468.87292366428</v>
      </c>
      <c r="G59" s="113">
        <f t="shared" si="3"/>
        <v>0.56543548151160727</v>
      </c>
      <c r="H59" s="120"/>
      <c r="I59" s="112">
        <v>414601</v>
      </c>
    </row>
    <row r="60" spans="1:9" s="111" customFormat="1" ht="16.5" customHeight="1" x14ac:dyDescent="0.3">
      <c r="A60" s="110"/>
      <c r="B60" s="130" t="s">
        <v>57</v>
      </c>
      <c r="D60" s="112">
        <v>52211095.959999993</v>
      </c>
      <c r="E60" s="112">
        <v>40820307</v>
      </c>
      <c r="F60" s="112">
        <f t="shared" si="2"/>
        <v>-11390788.959999993</v>
      </c>
      <c r="G60" s="113">
        <f t="shared" si="3"/>
        <v>0.78183202726242873</v>
      </c>
      <c r="I60" s="112">
        <v>65743794</v>
      </c>
    </row>
    <row r="61" spans="1:9" s="111" customFormat="1" ht="19.5" customHeight="1" x14ac:dyDescent="0.3">
      <c r="A61" s="114"/>
      <c r="B61" s="159" t="s">
        <v>58</v>
      </c>
      <c r="C61" s="115"/>
      <c r="D61" s="140">
        <v>300610731.64956093</v>
      </c>
      <c r="E61" s="140">
        <v>203893796</v>
      </c>
      <c r="F61" s="140">
        <f t="shared" si="2"/>
        <v>-96716935.649560928</v>
      </c>
      <c r="G61" s="141">
        <f t="shared" si="3"/>
        <v>0.67826519326559043</v>
      </c>
      <c r="H61" s="115"/>
      <c r="I61" s="140">
        <v>330599029.30000001</v>
      </c>
    </row>
    <row r="62" spans="1:9" s="129" customFormat="1" ht="19.5" customHeight="1" x14ac:dyDescent="0.3">
      <c r="A62" s="117">
        <v>44</v>
      </c>
      <c r="B62" s="132" t="s">
        <v>59</v>
      </c>
      <c r="C62" s="123"/>
      <c r="D62" s="109"/>
      <c r="E62" s="109">
        <v>0</v>
      </c>
      <c r="F62" s="109"/>
      <c r="G62" s="116"/>
      <c r="H62" s="123"/>
      <c r="I62" s="112"/>
    </row>
    <row r="63" spans="1:9" s="111" customFormat="1" ht="19.5" customHeight="1" x14ac:dyDescent="0.3">
      <c r="A63" s="117"/>
      <c r="B63" s="133" t="s">
        <v>60</v>
      </c>
      <c r="C63" s="115"/>
      <c r="D63" s="112">
        <v>11667440</v>
      </c>
      <c r="E63" s="112">
        <v>8167208</v>
      </c>
      <c r="F63" s="112">
        <f t="shared" ref="F63:F70" si="4">E63-D63</f>
        <v>-3500232</v>
      </c>
      <c r="G63" s="113">
        <f t="shared" ref="G63:G69" si="5">IFERROR(E63/D63,0)</f>
        <v>0.7</v>
      </c>
      <c r="H63" s="115"/>
      <c r="I63" s="112">
        <v>9709532.2300000004</v>
      </c>
    </row>
    <row r="64" spans="1:9" s="111" customFormat="1" ht="19.5" customHeight="1" x14ac:dyDescent="0.3">
      <c r="A64" s="117"/>
      <c r="B64" s="133" t="s">
        <v>61</v>
      </c>
      <c r="C64" s="115"/>
      <c r="D64" s="112">
        <v>124191024</v>
      </c>
      <c r="E64" s="112">
        <v>72444764</v>
      </c>
      <c r="F64" s="112">
        <f t="shared" si="4"/>
        <v>-51746260</v>
      </c>
      <c r="G64" s="113">
        <f t="shared" si="5"/>
        <v>0.58333333333333337</v>
      </c>
      <c r="H64" s="115"/>
      <c r="I64" s="112">
        <v>109234714</v>
      </c>
    </row>
    <row r="65" spans="1:10" s="111" customFormat="1" ht="19.5" customHeight="1" x14ac:dyDescent="0.3">
      <c r="A65" s="114"/>
      <c r="B65" s="159" t="s">
        <v>62</v>
      </c>
      <c r="C65" s="115"/>
      <c r="D65" s="140">
        <v>135858464</v>
      </c>
      <c r="E65" s="140">
        <v>80611972</v>
      </c>
      <c r="F65" s="140">
        <f t="shared" si="4"/>
        <v>-55246492</v>
      </c>
      <c r="G65" s="141">
        <f t="shared" si="5"/>
        <v>0.59335259376993987</v>
      </c>
      <c r="H65" s="115"/>
      <c r="I65" s="140">
        <v>118944246.23</v>
      </c>
    </row>
    <row r="66" spans="1:10" s="129" customFormat="1" ht="19.5" customHeight="1" x14ac:dyDescent="0.3">
      <c r="A66" s="110">
        <v>45</v>
      </c>
      <c r="B66" s="131" t="s">
        <v>99</v>
      </c>
      <c r="C66" s="120"/>
      <c r="D66" s="112">
        <v>0</v>
      </c>
      <c r="E66" s="109">
        <v>58243628.030000001</v>
      </c>
      <c r="F66" s="109">
        <f t="shared" si="4"/>
        <v>58243628.030000001</v>
      </c>
      <c r="G66" s="113">
        <f t="shared" si="5"/>
        <v>0</v>
      </c>
      <c r="H66" s="120"/>
      <c r="I66" s="112">
        <v>99532466.409999996</v>
      </c>
    </row>
    <row r="67" spans="1:10" s="111" customFormat="1" ht="19.5" customHeight="1" x14ac:dyDescent="0.3">
      <c r="A67" s="452" t="s">
        <v>64</v>
      </c>
      <c r="B67" s="451"/>
      <c r="C67" s="115"/>
      <c r="D67" s="124">
        <f>D61+D65+D66</f>
        <v>436469195.64956093</v>
      </c>
      <c r="E67" s="124">
        <f>E61+E65+E66</f>
        <v>342749396.02999997</v>
      </c>
      <c r="F67" s="124">
        <f t="shared" si="4"/>
        <v>-93719799.619560957</v>
      </c>
      <c r="G67" s="125">
        <f t="shared" si="5"/>
        <v>0.78527740203959739</v>
      </c>
      <c r="H67" s="115"/>
      <c r="I67" s="124">
        <f>I61+I65+I66</f>
        <v>549075741.94000006</v>
      </c>
    </row>
    <row r="68" spans="1:10" s="129" customFormat="1" ht="19.5" customHeight="1" x14ac:dyDescent="0.3">
      <c r="A68" s="110">
        <v>46</v>
      </c>
      <c r="B68" s="131" t="s">
        <v>65</v>
      </c>
      <c r="C68" s="123"/>
      <c r="D68" s="311">
        <v>0</v>
      </c>
      <c r="E68" s="311">
        <v>0</v>
      </c>
      <c r="F68" s="311">
        <f t="shared" si="4"/>
        <v>0</v>
      </c>
      <c r="G68" s="116">
        <f t="shared" si="5"/>
        <v>0</v>
      </c>
      <c r="H68" s="120"/>
      <c r="I68" s="311">
        <f>H68-G68</f>
        <v>0</v>
      </c>
    </row>
    <row r="69" spans="1:10" s="129" customFormat="1" ht="19.5" customHeight="1" x14ac:dyDescent="0.3">
      <c r="A69" s="110">
        <v>47</v>
      </c>
      <c r="B69" s="131" t="s">
        <v>66</v>
      </c>
      <c r="C69" s="123"/>
      <c r="D69" s="310">
        <v>0</v>
      </c>
      <c r="E69" s="310">
        <v>0</v>
      </c>
      <c r="F69" s="310">
        <f t="shared" si="4"/>
        <v>0</v>
      </c>
      <c r="G69" s="113">
        <f t="shared" si="5"/>
        <v>0</v>
      </c>
      <c r="H69" s="120"/>
      <c r="I69" s="310">
        <f>H69-G69</f>
        <v>0</v>
      </c>
    </row>
    <row r="70" spans="1:10" s="111" customFormat="1" ht="19.5" customHeight="1" x14ac:dyDescent="0.3">
      <c r="A70" s="450" t="s">
        <v>67</v>
      </c>
      <c r="B70" s="451"/>
      <c r="C70" s="115"/>
      <c r="D70" s="124">
        <f>D67+D50</f>
        <v>1233262379.6495609</v>
      </c>
      <c r="E70" s="124">
        <f>E67+E50</f>
        <v>941286823.45999992</v>
      </c>
      <c r="F70" s="124">
        <f t="shared" si="4"/>
        <v>-291975556.18956101</v>
      </c>
      <c r="G70" s="125">
        <f>IFERROR(E70/D70,0)</f>
        <v>0.76324944228613567</v>
      </c>
      <c r="H70" s="115"/>
      <c r="I70" s="124">
        <f>I67+I50</f>
        <v>1423492003.24</v>
      </c>
      <c r="J70" s="203"/>
    </row>
    <row r="71" spans="1:10" x14ac:dyDescent="0.25">
      <c r="D71" s="135"/>
      <c r="E71" s="135"/>
    </row>
    <row r="73" spans="1:10" x14ac:dyDescent="0.25">
      <c r="D73" s="136"/>
      <c r="E73" s="137"/>
    </row>
    <row r="74" spans="1:10" x14ac:dyDescent="0.25">
      <c r="D74" s="138"/>
      <c r="E74" s="137"/>
    </row>
    <row r="75" spans="1:10" x14ac:dyDescent="0.25">
      <c r="D75" s="138"/>
      <c r="E75" s="137"/>
    </row>
    <row r="76" spans="1:10" x14ac:dyDescent="0.25">
      <c r="D76" s="135"/>
      <c r="E76" s="137"/>
      <c r="F76" s="135"/>
      <c r="G76" s="135"/>
      <c r="I76" s="135"/>
    </row>
    <row r="77" spans="1:10" x14ac:dyDescent="0.25">
      <c r="D77" s="138"/>
      <c r="E77" s="137"/>
    </row>
    <row r="78" spans="1:10" x14ac:dyDescent="0.25">
      <c r="A78" s="106"/>
      <c r="D78" s="138"/>
    </row>
    <row r="80" spans="1:10" x14ac:dyDescent="0.25">
      <c r="A80" s="106"/>
      <c r="D80" s="138"/>
    </row>
    <row r="82" spans="1:4" x14ac:dyDescent="0.25">
      <c r="A82" s="106"/>
      <c r="D82" s="139"/>
    </row>
  </sheetData>
  <mergeCells count="7">
    <mergeCell ref="I1:I2"/>
    <mergeCell ref="A70:B70"/>
    <mergeCell ref="A50:B50"/>
    <mergeCell ref="A67:B67"/>
    <mergeCell ref="A1:A2"/>
    <mergeCell ref="B1:B2"/>
    <mergeCell ref="D1:G1"/>
  </mergeCells>
  <printOptions horizontalCentered="1"/>
  <pageMargins left="0.70866141732283472" right="0.70866141732283472" top="1.0894444444444444" bottom="0.35333333333333333" header="0.11953125000000001" footer="0.18593750000000001"/>
  <pageSetup scale="53" fitToWidth="0" fitToHeight="0" orientation="portrait" r:id="rId1"/>
  <headerFooter>
    <oddHeader>&amp;C&amp;"Arial Narrow,Negrita"&amp;13
&amp;G
Secretaría de Tesorería y Finanzas
Dirección de Ingresos
Analítico de Ingresos a nivel artículo 2019&amp;14
&amp;"Arial Narrow,Normal"&amp;11Información con corte al 31 julio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J85"/>
  <sheetViews>
    <sheetView showGridLines="0" topLeftCell="B1" zoomScale="112" zoomScaleNormal="112" zoomScalePageLayoutView="43" workbookViewId="0">
      <selection activeCell="I66" sqref="I66"/>
    </sheetView>
  </sheetViews>
  <sheetFormatPr baseColWidth="10" defaultColWidth="11.44140625" defaultRowHeight="13.8" x14ac:dyDescent="0.3"/>
  <cols>
    <col min="1" max="1" width="5.44140625" style="12" hidden="1" customWidth="1"/>
    <col min="2" max="2" width="60.88671875" style="13" customWidth="1"/>
    <col min="3" max="3" width="1.5546875" style="13" customWidth="1"/>
    <col min="4" max="4" width="10.6640625" style="13" bestFit="1" customWidth="1"/>
    <col min="5" max="5" width="12.88671875" style="13" bestFit="1" customWidth="1"/>
    <col min="6" max="6" width="12" style="13" bestFit="1" customWidth="1"/>
    <col min="7" max="7" width="8" style="13" customWidth="1"/>
    <col min="8" max="8" width="1.88671875" style="13" customWidth="1"/>
    <col min="9" max="9" width="12.5546875" style="13" bestFit="1" customWidth="1"/>
    <col min="10" max="11" width="11.44140625" style="13" customWidth="1"/>
    <col min="12" max="16384" width="11.44140625" style="13"/>
  </cols>
  <sheetData>
    <row r="1" spans="1:9" ht="21.6" customHeight="1" x14ac:dyDescent="0.3">
      <c r="A1" s="441" t="s">
        <v>0</v>
      </c>
      <c r="B1" s="456" t="s">
        <v>1</v>
      </c>
      <c r="C1" s="92"/>
      <c r="D1" s="458" t="s">
        <v>80</v>
      </c>
      <c r="E1" s="458"/>
      <c r="F1" s="458"/>
      <c r="G1" s="459"/>
      <c r="H1" s="92"/>
      <c r="I1" s="460">
        <v>2018</v>
      </c>
    </row>
    <row r="2" spans="1:9" x14ac:dyDescent="0.3">
      <c r="A2" s="442"/>
      <c r="B2" s="457"/>
      <c r="C2" s="92"/>
      <c r="D2" s="341" t="s">
        <v>71</v>
      </c>
      <c r="E2" s="342" t="s">
        <v>72</v>
      </c>
      <c r="F2" s="342" t="s">
        <v>73</v>
      </c>
      <c r="G2" s="343" t="s">
        <v>74</v>
      </c>
      <c r="H2" s="92"/>
      <c r="I2" s="461"/>
    </row>
    <row r="3" spans="1:9" s="26" customFormat="1" x14ac:dyDescent="0.3">
      <c r="A3" s="24"/>
      <c r="B3" s="346" t="s">
        <v>3</v>
      </c>
      <c r="C3" s="347"/>
      <c r="D3" s="348">
        <v>182833.66666666666</v>
      </c>
      <c r="E3" s="349">
        <v>174600</v>
      </c>
      <c r="F3" s="349">
        <f>E3-D3</f>
        <v>-8233.666666666657</v>
      </c>
      <c r="G3" s="350">
        <f>IFERROR(E3/D3,0)</f>
        <v>0.95496635375322936</v>
      </c>
      <c r="H3" s="347"/>
      <c r="I3" s="351">
        <v>366063</v>
      </c>
    </row>
    <row r="4" spans="1:9" s="31" customFormat="1" x14ac:dyDescent="0.3">
      <c r="A4" s="29">
        <v>12</v>
      </c>
      <c r="B4" s="344" t="s">
        <v>4</v>
      </c>
      <c r="C4" s="352"/>
      <c r="D4" s="353">
        <v>182833.66666666666</v>
      </c>
      <c r="E4" s="354">
        <v>174600</v>
      </c>
      <c r="F4" s="354">
        <f t="shared" ref="F4:F66" si="0">E4-D4</f>
        <v>-8233.666666666657</v>
      </c>
      <c r="G4" s="355">
        <f t="shared" ref="G4:G63" si="1">IFERROR(E4/D4,0)</f>
        <v>0.95496635375322936</v>
      </c>
      <c r="H4" s="352"/>
      <c r="I4" s="356">
        <v>366063</v>
      </c>
    </row>
    <row r="5" spans="1:9" s="26" customFormat="1" x14ac:dyDescent="0.3">
      <c r="A5" s="35"/>
      <c r="B5" s="357" t="s">
        <v>5</v>
      </c>
      <c r="C5" s="347"/>
      <c r="D5" s="348">
        <v>33454687.276388887</v>
      </c>
      <c r="E5" s="348">
        <v>36817701.899999999</v>
      </c>
      <c r="F5" s="358">
        <f t="shared" si="0"/>
        <v>3363014.6236111112</v>
      </c>
      <c r="G5" s="359">
        <f t="shared" si="1"/>
        <v>1.1005244674932175</v>
      </c>
      <c r="H5" s="347"/>
      <c r="I5" s="360">
        <v>26010515.48</v>
      </c>
    </row>
    <row r="6" spans="1:9" s="31" customFormat="1" x14ac:dyDescent="0.3">
      <c r="A6" s="29">
        <v>13</v>
      </c>
      <c r="B6" s="344" t="s">
        <v>6</v>
      </c>
      <c r="C6" s="352"/>
      <c r="D6" s="353">
        <v>4981321</v>
      </c>
      <c r="E6" s="354">
        <v>6843970.3399999999</v>
      </c>
      <c r="F6" s="354">
        <f t="shared" si="0"/>
        <v>1862649.3399999999</v>
      </c>
      <c r="G6" s="355">
        <f t="shared" si="1"/>
        <v>1.3739267836784659</v>
      </c>
      <c r="H6" s="352"/>
      <c r="I6" s="356">
        <v>6706178.0499999998</v>
      </c>
    </row>
    <row r="7" spans="1:9" s="31" customFormat="1" x14ac:dyDescent="0.3">
      <c r="A7" s="29">
        <v>14</v>
      </c>
      <c r="B7" s="344" t="s">
        <v>7</v>
      </c>
      <c r="C7" s="352"/>
      <c r="D7" s="353">
        <v>27660840</v>
      </c>
      <c r="E7" s="354">
        <v>27761806.27</v>
      </c>
      <c r="F7" s="354">
        <f t="shared" si="0"/>
        <v>100966.26999999955</v>
      </c>
      <c r="G7" s="355">
        <f t="shared" si="1"/>
        <v>1.0036501519838155</v>
      </c>
      <c r="H7" s="352"/>
      <c r="I7" s="356">
        <v>18598659.32</v>
      </c>
    </row>
    <row r="8" spans="1:9" s="31" customFormat="1" x14ac:dyDescent="0.3">
      <c r="A8" s="29">
        <v>15</v>
      </c>
      <c r="B8" s="344" t="s">
        <v>8</v>
      </c>
      <c r="C8" s="352"/>
      <c r="D8" s="353">
        <v>812526.27638888883</v>
      </c>
      <c r="E8" s="354">
        <v>2211925.29</v>
      </c>
      <c r="F8" s="354">
        <f t="shared" si="0"/>
        <v>1399399.0136111113</v>
      </c>
      <c r="G8" s="355">
        <f t="shared" si="1"/>
        <v>2.7222815486416776</v>
      </c>
      <c r="H8" s="352"/>
      <c r="I8" s="356">
        <v>705678.11</v>
      </c>
    </row>
    <row r="9" spans="1:9" s="26" customFormat="1" x14ac:dyDescent="0.3">
      <c r="A9" s="35"/>
      <c r="B9" s="357" t="s">
        <v>9</v>
      </c>
      <c r="C9" s="347"/>
      <c r="D9" s="348">
        <v>1044834</v>
      </c>
      <c r="E9" s="358">
        <v>1872521.81</v>
      </c>
      <c r="F9" s="358">
        <f t="shared" si="0"/>
        <v>827687.81</v>
      </c>
      <c r="G9" s="359">
        <f t="shared" si="1"/>
        <v>1.7921715889796848</v>
      </c>
      <c r="H9" s="347"/>
      <c r="I9" s="360">
        <v>1471265.59</v>
      </c>
    </row>
    <row r="10" spans="1:9" s="31" customFormat="1" x14ac:dyDescent="0.3">
      <c r="A10" s="29">
        <v>16</v>
      </c>
      <c r="B10" s="344" t="s">
        <v>10</v>
      </c>
      <c r="C10" s="352"/>
      <c r="D10" s="353">
        <v>1044834</v>
      </c>
      <c r="E10" s="354">
        <v>1872521.81</v>
      </c>
      <c r="F10" s="354">
        <f t="shared" si="0"/>
        <v>827687.81</v>
      </c>
      <c r="G10" s="355">
        <f t="shared" si="1"/>
        <v>1.7921715889796848</v>
      </c>
      <c r="H10" s="352"/>
      <c r="I10" s="356">
        <v>1471265.59</v>
      </c>
    </row>
    <row r="11" spans="1:9" s="26" customFormat="1" x14ac:dyDescent="0.3">
      <c r="A11" s="35"/>
      <c r="B11" s="357" t="s">
        <v>11</v>
      </c>
      <c r="C11" s="347"/>
      <c r="D11" s="348">
        <v>45463</v>
      </c>
      <c r="E11" s="358">
        <v>203485.74</v>
      </c>
      <c r="F11" s="358">
        <f t="shared" si="0"/>
        <v>158022.74</v>
      </c>
      <c r="G11" s="359">
        <f t="shared" si="1"/>
        <v>4.4758537711985564</v>
      </c>
      <c r="H11" s="347"/>
      <c r="I11" s="360">
        <v>268472.08</v>
      </c>
    </row>
    <row r="12" spans="1:9" s="31" customFormat="1" x14ac:dyDescent="0.3">
      <c r="A12" s="29">
        <v>17</v>
      </c>
      <c r="B12" s="344" t="s">
        <v>12</v>
      </c>
      <c r="C12" s="352"/>
      <c r="D12" s="353">
        <v>45463</v>
      </c>
      <c r="E12" s="354">
        <v>203485.74</v>
      </c>
      <c r="F12" s="354">
        <f t="shared" si="0"/>
        <v>158022.74</v>
      </c>
      <c r="G12" s="355">
        <f t="shared" si="1"/>
        <v>4.4758537711985564</v>
      </c>
      <c r="H12" s="352"/>
      <c r="I12" s="356">
        <v>268472.08</v>
      </c>
    </row>
    <row r="13" spans="1:9" s="26" customFormat="1" x14ac:dyDescent="0.3">
      <c r="A13" s="35"/>
      <c r="B13" s="357" t="s">
        <v>13</v>
      </c>
      <c r="C13" s="347"/>
      <c r="D13" s="348">
        <v>4137518</v>
      </c>
      <c r="E13" s="358">
        <v>3945518.45</v>
      </c>
      <c r="F13" s="358">
        <f t="shared" si="0"/>
        <v>-191999.54999999981</v>
      </c>
      <c r="G13" s="359">
        <f t="shared" si="1"/>
        <v>0.95359547680517653</v>
      </c>
      <c r="H13" s="347"/>
      <c r="I13" s="360">
        <v>7756068.9700000007</v>
      </c>
    </row>
    <row r="14" spans="1:9" s="31" customFormat="1" x14ac:dyDescent="0.3">
      <c r="A14" s="29">
        <v>18</v>
      </c>
      <c r="B14" s="344" t="s">
        <v>6</v>
      </c>
      <c r="C14" s="352"/>
      <c r="D14" s="353">
        <v>2941040</v>
      </c>
      <c r="E14" s="354">
        <v>2903711.6</v>
      </c>
      <c r="F14" s="354">
        <f t="shared" si="0"/>
        <v>-37328.399999999907</v>
      </c>
      <c r="G14" s="355">
        <f t="shared" si="1"/>
        <v>0.9873077550798357</v>
      </c>
      <c r="H14" s="352"/>
      <c r="I14" s="356">
        <v>4525951.8600000003</v>
      </c>
    </row>
    <row r="15" spans="1:9" s="31" customFormat="1" x14ac:dyDescent="0.3">
      <c r="A15" s="29"/>
      <c r="B15" s="344" t="s">
        <v>7</v>
      </c>
      <c r="C15" s="352"/>
      <c r="D15" s="353">
        <v>1023544</v>
      </c>
      <c r="E15" s="354">
        <v>946204.62</v>
      </c>
      <c r="F15" s="354">
        <f t="shared" si="0"/>
        <v>-77339.38</v>
      </c>
      <c r="G15" s="355">
        <f t="shared" si="1"/>
        <v>0.92443961373424099</v>
      </c>
      <c r="H15" s="352"/>
      <c r="I15" s="356">
        <v>2712608.27</v>
      </c>
    </row>
    <row r="16" spans="1:9" s="31" customFormat="1" x14ac:dyDescent="0.3">
      <c r="A16" s="29"/>
      <c r="B16" s="344" t="s">
        <v>8</v>
      </c>
      <c r="C16" s="352"/>
      <c r="D16" s="353">
        <v>172934</v>
      </c>
      <c r="E16" s="354">
        <v>95602.23</v>
      </c>
      <c r="F16" s="354">
        <f t="shared" si="0"/>
        <v>-77331.77</v>
      </c>
      <c r="G16" s="355">
        <f t="shared" si="1"/>
        <v>0.5528249505591728</v>
      </c>
      <c r="H16" s="352"/>
      <c r="I16" s="356">
        <v>517508.84</v>
      </c>
    </row>
    <row r="17" spans="1:10" s="31" customFormat="1" x14ac:dyDescent="0.3">
      <c r="A17" s="75"/>
      <c r="B17" s="361" t="s">
        <v>107</v>
      </c>
      <c r="C17" s="362"/>
      <c r="D17" s="363">
        <v>38865335.943055555</v>
      </c>
      <c r="E17" s="364">
        <v>43013827.899999999</v>
      </c>
      <c r="F17" s="364">
        <f t="shared" si="0"/>
        <v>4148491.9569444433</v>
      </c>
      <c r="G17" s="365">
        <f t="shared" si="1"/>
        <v>1.1067401543376005</v>
      </c>
      <c r="H17" s="362"/>
      <c r="I17" s="366">
        <v>35872385.119999997</v>
      </c>
      <c r="J17" s="126"/>
    </row>
    <row r="18" spans="1:10" s="26" customFormat="1" x14ac:dyDescent="0.3">
      <c r="A18" s="78"/>
      <c r="B18" s="357" t="s">
        <v>15</v>
      </c>
      <c r="C18" s="367"/>
      <c r="D18" s="368"/>
      <c r="E18" s="368">
        <v>0</v>
      </c>
      <c r="F18" s="358">
        <f t="shared" si="0"/>
        <v>0</v>
      </c>
      <c r="G18" s="369">
        <f t="shared" si="1"/>
        <v>0</v>
      </c>
      <c r="H18" s="367"/>
      <c r="I18" s="360">
        <v>0</v>
      </c>
    </row>
    <row r="19" spans="1:10" s="31" customFormat="1" x14ac:dyDescent="0.3">
      <c r="A19" s="79">
        <v>19</v>
      </c>
      <c r="B19" s="370" t="s">
        <v>16</v>
      </c>
      <c r="C19" s="362"/>
      <c r="D19" s="371">
        <v>0</v>
      </c>
      <c r="E19" s="371">
        <v>0</v>
      </c>
      <c r="F19" s="354">
        <f t="shared" si="0"/>
        <v>0</v>
      </c>
      <c r="G19" s="372">
        <f t="shared" si="1"/>
        <v>0</v>
      </c>
      <c r="H19" s="362"/>
      <c r="I19" s="356">
        <v>0</v>
      </c>
    </row>
    <row r="20" spans="1:10" s="31" customFormat="1" x14ac:dyDescent="0.3">
      <c r="A20" s="79">
        <v>20</v>
      </c>
      <c r="B20" s="370" t="s">
        <v>17</v>
      </c>
      <c r="C20" s="362"/>
      <c r="D20" s="371">
        <v>0</v>
      </c>
      <c r="E20" s="371">
        <v>0</v>
      </c>
      <c r="F20" s="373">
        <f t="shared" si="0"/>
        <v>0</v>
      </c>
      <c r="G20" s="372">
        <f t="shared" si="1"/>
        <v>0</v>
      </c>
      <c r="H20" s="362"/>
      <c r="I20" s="371">
        <v>0</v>
      </c>
    </row>
    <row r="21" spans="1:10" s="31" customFormat="1" x14ac:dyDescent="0.3">
      <c r="A21" s="75"/>
      <c r="B21" s="361" t="s">
        <v>15</v>
      </c>
      <c r="C21" s="362"/>
      <c r="D21" s="374">
        <v>0</v>
      </c>
      <c r="E21" s="374">
        <v>0</v>
      </c>
      <c r="F21" s="374">
        <f t="shared" si="0"/>
        <v>0</v>
      </c>
      <c r="G21" s="365">
        <f t="shared" si="1"/>
        <v>0</v>
      </c>
      <c r="H21" s="362"/>
      <c r="I21" s="374">
        <v>0</v>
      </c>
    </row>
    <row r="22" spans="1:10" s="26" customFormat="1" x14ac:dyDescent="0.3">
      <c r="A22" s="78"/>
      <c r="B22" s="357" t="s">
        <v>19</v>
      </c>
      <c r="C22" s="367"/>
      <c r="D22" s="375">
        <v>291247</v>
      </c>
      <c r="E22" s="376">
        <v>303538.96000000002</v>
      </c>
      <c r="F22" s="376">
        <f t="shared" si="0"/>
        <v>12291.960000000021</v>
      </c>
      <c r="G22" s="369">
        <f t="shared" si="1"/>
        <v>1.0422045892318206</v>
      </c>
      <c r="H22" s="367"/>
      <c r="I22" s="377">
        <v>214446.14</v>
      </c>
    </row>
    <row r="23" spans="1:10" s="31" customFormat="1" x14ac:dyDescent="0.3">
      <c r="A23" s="79">
        <v>21</v>
      </c>
      <c r="B23" s="370" t="s">
        <v>20</v>
      </c>
      <c r="C23" s="362"/>
      <c r="D23" s="378">
        <v>291247</v>
      </c>
      <c r="E23" s="379">
        <v>303538.96000000002</v>
      </c>
      <c r="F23" s="379">
        <f t="shared" si="0"/>
        <v>12291.960000000021</v>
      </c>
      <c r="G23" s="372">
        <f t="shared" si="1"/>
        <v>1.0422045892318206</v>
      </c>
      <c r="H23" s="362"/>
      <c r="I23" s="380">
        <v>214446.14</v>
      </c>
    </row>
    <row r="24" spans="1:10" s="26" customFormat="1" x14ac:dyDescent="0.3">
      <c r="A24" s="78"/>
      <c r="B24" s="357" t="s">
        <v>21</v>
      </c>
      <c r="C24" s="367"/>
      <c r="D24" s="375">
        <v>11463173.688312013</v>
      </c>
      <c r="E24" s="376">
        <v>10456816.819999998</v>
      </c>
      <c r="F24" s="376">
        <f t="shared" si="0"/>
        <v>-1006356.8683120143</v>
      </c>
      <c r="G24" s="369">
        <f t="shared" si="1"/>
        <v>0.91220957688723603</v>
      </c>
      <c r="H24" s="367"/>
      <c r="I24" s="377">
        <v>13956437.559999999</v>
      </c>
    </row>
    <row r="25" spans="1:10" s="31" customFormat="1" x14ac:dyDescent="0.3">
      <c r="A25" s="79">
        <v>22</v>
      </c>
      <c r="B25" s="370" t="s">
        <v>22</v>
      </c>
      <c r="C25" s="362"/>
      <c r="D25" s="378">
        <v>357212</v>
      </c>
      <c r="E25" s="379">
        <v>289182.5</v>
      </c>
      <c r="F25" s="379">
        <f t="shared" si="0"/>
        <v>-68029.5</v>
      </c>
      <c r="G25" s="372">
        <f t="shared" si="1"/>
        <v>0.80955427029327121</v>
      </c>
      <c r="H25" s="362"/>
      <c r="I25" s="380">
        <v>1060688.0900000001</v>
      </c>
    </row>
    <row r="26" spans="1:10" s="31" customFormat="1" x14ac:dyDescent="0.3">
      <c r="A26" s="79">
        <v>23</v>
      </c>
      <c r="B26" s="370" t="s">
        <v>23</v>
      </c>
      <c r="C26" s="362"/>
      <c r="D26" s="378">
        <v>4527022.7670518439</v>
      </c>
      <c r="E26" s="379">
        <v>4459164.67</v>
      </c>
      <c r="F26" s="379">
        <f t="shared" si="0"/>
        <v>-67858.097051844001</v>
      </c>
      <c r="G26" s="372">
        <f t="shared" si="1"/>
        <v>0.98501043609815209</v>
      </c>
      <c r="H26" s="362"/>
      <c r="I26" s="380">
        <v>6634841.5199999996</v>
      </c>
    </row>
    <row r="27" spans="1:10" s="31" customFormat="1" x14ac:dyDescent="0.3">
      <c r="A27" s="79">
        <v>24</v>
      </c>
      <c r="B27" s="370" t="s">
        <v>24</v>
      </c>
      <c r="C27" s="362"/>
      <c r="D27" s="371">
        <v>0</v>
      </c>
      <c r="E27" s="373">
        <v>0</v>
      </c>
      <c r="F27" s="373">
        <f t="shared" si="0"/>
        <v>0</v>
      </c>
      <c r="G27" s="372">
        <f t="shared" si="1"/>
        <v>0</v>
      </c>
      <c r="H27" s="362"/>
      <c r="I27" s="381">
        <v>0</v>
      </c>
    </row>
    <row r="28" spans="1:10" s="31" customFormat="1" x14ac:dyDescent="0.3">
      <c r="A28" s="79">
        <v>25</v>
      </c>
      <c r="B28" s="370" t="s">
        <v>25</v>
      </c>
      <c r="C28" s="362"/>
      <c r="D28" s="378">
        <v>2021262.0833333333</v>
      </c>
      <c r="E28" s="379">
        <v>2525056.14</v>
      </c>
      <c r="F28" s="379">
        <f t="shared" si="0"/>
        <v>503794.05666666687</v>
      </c>
      <c r="G28" s="372">
        <f t="shared" si="1"/>
        <v>1.2492472702183393</v>
      </c>
      <c r="H28" s="362"/>
      <c r="I28" s="380">
        <v>1761095.6</v>
      </c>
    </row>
    <row r="29" spans="1:10" s="31" customFormat="1" x14ac:dyDescent="0.3">
      <c r="A29" s="79">
        <v>26</v>
      </c>
      <c r="B29" s="370" t="s">
        <v>26</v>
      </c>
      <c r="C29" s="362"/>
      <c r="D29" s="378">
        <v>442012</v>
      </c>
      <c r="E29" s="379">
        <v>503604</v>
      </c>
      <c r="F29" s="379">
        <f t="shared" si="0"/>
        <v>61592</v>
      </c>
      <c r="G29" s="372">
        <f t="shared" si="1"/>
        <v>1.1393446331773798</v>
      </c>
      <c r="H29" s="362"/>
      <c r="I29" s="380">
        <v>372706</v>
      </c>
    </row>
    <row r="30" spans="1:10" s="31" customFormat="1" x14ac:dyDescent="0.3">
      <c r="A30" s="79">
        <v>27</v>
      </c>
      <c r="B30" s="370" t="s">
        <v>27</v>
      </c>
      <c r="C30" s="362"/>
      <c r="D30" s="378">
        <v>79300</v>
      </c>
      <c r="E30" s="379">
        <v>0</v>
      </c>
      <c r="F30" s="379">
        <f t="shared" si="0"/>
        <v>-79300</v>
      </c>
      <c r="G30" s="372">
        <f t="shared" si="1"/>
        <v>0</v>
      </c>
      <c r="H30" s="362"/>
      <c r="I30" s="380">
        <v>8030</v>
      </c>
    </row>
    <row r="31" spans="1:10" s="31" customFormat="1" x14ac:dyDescent="0.3">
      <c r="A31" s="79">
        <v>28</v>
      </c>
      <c r="B31" s="370" t="s">
        <v>28</v>
      </c>
      <c r="C31" s="362"/>
      <c r="D31" s="378">
        <v>482102.50286672899</v>
      </c>
      <c r="E31" s="379">
        <v>479994.3</v>
      </c>
      <c r="F31" s="379">
        <f t="shared" si="0"/>
        <v>-2108.2028667289997</v>
      </c>
      <c r="G31" s="372">
        <f t="shared" si="1"/>
        <v>0.9956270650863811</v>
      </c>
      <c r="H31" s="362"/>
      <c r="I31" s="380">
        <v>883957.21</v>
      </c>
    </row>
    <row r="32" spans="1:10" s="31" customFormat="1" x14ac:dyDescent="0.3">
      <c r="A32" s="79">
        <v>29</v>
      </c>
      <c r="B32" s="370" t="s">
        <v>29</v>
      </c>
      <c r="C32" s="362"/>
      <c r="D32" s="378">
        <v>263393</v>
      </c>
      <c r="E32" s="379">
        <v>189126</v>
      </c>
      <c r="F32" s="379">
        <f t="shared" si="0"/>
        <v>-74267</v>
      </c>
      <c r="G32" s="372">
        <f t="shared" si="1"/>
        <v>0.71803730547129196</v>
      </c>
      <c r="H32" s="362"/>
      <c r="I32" s="380">
        <v>154589.9</v>
      </c>
    </row>
    <row r="33" spans="1:9" s="31" customFormat="1" x14ac:dyDescent="0.3">
      <c r="A33" s="79">
        <v>30</v>
      </c>
      <c r="B33" s="370" t="s">
        <v>30</v>
      </c>
      <c r="C33" s="362"/>
      <c r="D33" s="378">
        <v>1315788.2995232781</v>
      </c>
      <c r="E33" s="379">
        <v>967633.04</v>
      </c>
      <c r="F33" s="379">
        <f t="shared" si="0"/>
        <v>-348155.2595232781</v>
      </c>
      <c r="G33" s="372">
        <f t="shared" si="1"/>
        <v>0.73540176664481827</v>
      </c>
      <c r="H33" s="362"/>
      <c r="I33" s="380">
        <v>696361.6</v>
      </c>
    </row>
    <row r="34" spans="1:9" s="31" customFormat="1" x14ac:dyDescent="0.3">
      <c r="A34" s="79">
        <v>31</v>
      </c>
      <c r="B34" s="370" t="s">
        <v>31</v>
      </c>
      <c r="C34" s="362"/>
      <c r="D34" s="378">
        <v>0</v>
      </c>
      <c r="E34" s="373">
        <v>0</v>
      </c>
      <c r="F34" s="379">
        <f t="shared" si="0"/>
        <v>0</v>
      </c>
      <c r="G34" s="372">
        <f t="shared" si="1"/>
        <v>0</v>
      </c>
      <c r="H34" s="362"/>
      <c r="I34" s="381">
        <v>0</v>
      </c>
    </row>
    <row r="35" spans="1:9" s="31" customFormat="1" x14ac:dyDescent="0.3">
      <c r="A35" s="79">
        <v>32</v>
      </c>
      <c r="B35" s="370" t="s">
        <v>32</v>
      </c>
      <c r="C35" s="362"/>
      <c r="D35" s="378">
        <v>1146682.0355368298</v>
      </c>
      <c r="E35" s="379">
        <v>365970</v>
      </c>
      <c r="F35" s="379">
        <f t="shared" si="0"/>
        <v>-780712.03553682985</v>
      </c>
      <c r="G35" s="372">
        <f t="shared" si="1"/>
        <v>0.31915560605139137</v>
      </c>
      <c r="H35" s="362"/>
      <c r="I35" s="380">
        <v>588357</v>
      </c>
    </row>
    <row r="36" spans="1:9" s="31" customFormat="1" x14ac:dyDescent="0.3">
      <c r="A36" s="79">
        <v>33</v>
      </c>
      <c r="B36" s="370" t="s">
        <v>33</v>
      </c>
      <c r="C36" s="362"/>
      <c r="D36" s="371">
        <v>0</v>
      </c>
      <c r="E36" s="373">
        <v>0</v>
      </c>
      <c r="F36" s="373">
        <f t="shared" si="0"/>
        <v>0</v>
      </c>
      <c r="G36" s="372">
        <f t="shared" si="1"/>
        <v>0</v>
      </c>
      <c r="H36" s="362"/>
      <c r="I36" s="381">
        <v>0</v>
      </c>
    </row>
    <row r="37" spans="1:9" s="31" customFormat="1" x14ac:dyDescent="0.3">
      <c r="A37" s="79">
        <v>34</v>
      </c>
      <c r="B37" s="370" t="s">
        <v>34</v>
      </c>
      <c r="C37" s="362"/>
      <c r="D37" s="378">
        <v>828399</v>
      </c>
      <c r="E37" s="379">
        <v>677086.17</v>
      </c>
      <c r="F37" s="379">
        <f t="shared" si="0"/>
        <v>-151312.82999999996</v>
      </c>
      <c r="G37" s="372">
        <f t="shared" si="1"/>
        <v>0.8173430557014193</v>
      </c>
      <c r="H37" s="362"/>
      <c r="I37" s="380">
        <v>1795810.64</v>
      </c>
    </row>
    <row r="38" spans="1:9" s="26" customFormat="1" x14ac:dyDescent="0.3">
      <c r="A38" s="78"/>
      <c r="B38" s="357" t="s">
        <v>35</v>
      </c>
      <c r="C38" s="367"/>
      <c r="D38" s="375">
        <v>0</v>
      </c>
      <c r="E38" s="376">
        <v>148826</v>
      </c>
      <c r="F38" s="376">
        <f t="shared" si="0"/>
        <v>148826</v>
      </c>
      <c r="G38" s="369">
        <f t="shared" si="1"/>
        <v>0</v>
      </c>
      <c r="H38" s="367"/>
      <c r="I38" s="377">
        <v>7543</v>
      </c>
    </row>
    <row r="39" spans="1:9" s="31" customFormat="1" x14ac:dyDescent="0.3">
      <c r="A39" s="79">
        <v>35</v>
      </c>
      <c r="B39" s="370" t="s">
        <v>36</v>
      </c>
      <c r="C39" s="362"/>
      <c r="D39" s="378">
        <v>0</v>
      </c>
      <c r="E39" s="379">
        <v>148826</v>
      </c>
      <c r="F39" s="379">
        <f t="shared" si="0"/>
        <v>148826</v>
      </c>
      <c r="G39" s="372">
        <f t="shared" si="1"/>
        <v>0</v>
      </c>
      <c r="H39" s="362"/>
      <c r="I39" s="380">
        <v>7543</v>
      </c>
    </row>
    <row r="40" spans="1:9" s="26" customFormat="1" x14ac:dyDescent="0.3">
      <c r="A40" s="78"/>
      <c r="B40" s="357" t="s">
        <v>37</v>
      </c>
      <c r="C40" s="367"/>
      <c r="D40" s="375">
        <v>0</v>
      </c>
      <c r="E40" s="376">
        <v>6150</v>
      </c>
      <c r="F40" s="376">
        <f t="shared" si="0"/>
        <v>6150</v>
      </c>
      <c r="G40" s="369">
        <f t="shared" si="1"/>
        <v>0</v>
      </c>
      <c r="H40" s="367"/>
      <c r="I40" s="377">
        <v>5700</v>
      </c>
    </row>
    <row r="41" spans="1:9" s="31" customFormat="1" x14ac:dyDescent="0.3">
      <c r="A41" s="79">
        <v>36</v>
      </c>
      <c r="B41" s="370" t="s">
        <v>38</v>
      </c>
      <c r="C41" s="362"/>
      <c r="D41" s="378">
        <v>0</v>
      </c>
      <c r="E41" s="379">
        <v>6150</v>
      </c>
      <c r="F41" s="379">
        <f t="shared" si="0"/>
        <v>6150</v>
      </c>
      <c r="G41" s="372">
        <f t="shared" si="1"/>
        <v>0</v>
      </c>
      <c r="H41" s="362"/>
      <c r="I41" s="380">
        <v>5700</v>
      </c>
    </row>
    <row r="42" spans="1:9" s="26" customFormat="1" x14ac:dyDescent="0.3">
      <c r="A42" s="78"/>
      <c r="B42" s="357" t="s">
        <v>39</v>
      </c>
      <c r="C42" s="367"/>
      <c r="D42" s="375">
        <v>4375</v>
      </c>
      <c r="E42" s="375">
        <v>24513</v>
      </c>
      <c r="F42" s="376">
        <f t="shared" si="0"/>
        <v>20138</v>
      </c>
      <c r="G42" s="369">
        <f t="shared" si="1"/>
        <v>5.6029714285714283</v>
      </c>
      <c r="H42" s="367"/>
      <c r="I42" s="377">
        <v>20203</v>
      </c>
    </row>
    <row r="43" spans="1:9" s="31" customFormat="1" x14ac:dyDescent="0.3">
      <c r="A43" s="79">
        <v>37</v>
      </c>
      <c r="B43" s="370" t="s">
        <v>40</v>
      </c>
      <c r="C43" s="362"/>
      <c r="D43" s="378">
        <v>4375</v>
      </c>
      <c r="E43" s="378">
        <v>24513</v>
      </c>
      <c r="F43" s="379">
        <f t="shared" si="0"/>
        <v>20138</v>
      </c>
      <c r="G43" s="372">
        <f t="shared" si="1"/>
        <v>5.6029714285714283</v>
      </c>
      <c r="H43" s="362"/>
      <c r="I43" s="380">
        <v>20203</v>
      </c>
    </row>
    <row r="44" spans="1:9" s="31" customFormat="1" x14ac:dyDescent="0.3">
      <c r="A44" s="75"/>
      <c r="B44" s="361" t="s">
        <v>106</v>
      </c>
      <c r="C44" s="362"/>
      <c r="D44" s="363">
        <v>11758795.688312013</v>
      </c>
      <c r="E44" s="364">
        <v>10939844.779999999</v>
      </c>
      <c r="F44" s="364">
        <f t="shared" si="0"/>
        <v>-818950.90831201337</v>
      </c>
      <c r="G44" s="365">
        <f t="shared" si="1"/>
        <v>0.93035418506964684</v>
      </c>
      <c r="H44" s="362"/>
      <c r="I44" s="366">
        <v>14204329.699999999</v>
      </c>
    </row>
    <row r="45" spans="1:9" s="31" customFormat="1" x14ac:dyDescent="0.3">
      <c r="A45" s="79">
        <v>38</v>
      </c>
      <c r="B45" s="370" t="s">
        <v>115</v>
      </c>
      <c r="C45" s="362"/>
      <c r="D45" s="378">
        <v>1539591.674431521</v>
      </c>
      <c r="E45" s="379">
        <v>2928963.43</v>
      </c>
      <c r="F45" s="379">
        <f t="shared" si="0"/>
        <v>1389371.7555684792</v>
      </c>
      <c r="G45" s="372">
        <f t="shared" si="1"/>
        <v>1.9024287274620986</v>
      </c>
      <c r="H45" s="362"/>
      <c r="I45" s="380">
        <v>2899741.92</v>
      </c>
    </row>
    <row r="46" spans="1:9" s="31" customFormat="1" x14ac:dyDescent="0.3">
      <c r="A46" s="75"/>
      <c r="B46" s="361" t="s">
        <v>105</v>
      </c>
      <c r="C46" s="362"/>
      <c r="D46" s="363">
        <v>1539591.674431521</v>
      </c>
      <c r="E46" s="364">
        <v>2928963.43</v>
      </c>
      <c r="F46" s="364">
        <f t="shared" si="0"/>
        <v>1389371.7555684792</v>
      </c>
      <c r="G46" s="365">
        <f t="shared" si="1"/>
        <v>1.9024287274620986</v>
      </c>
      <c r="H46" s="362"/>
      <c r="I46" s="366">
        <v>2899741.92</v>
      </c>
    </row>
    <row r="47" spans="1:9" s="31" customFormat="1" x14ac:dyDescent="0.3">
      <c r="A47" s="79">
        <v>39</v>
      </c>
      <c r="B47" s="370" t="s">
        <v>117</v>
      </c>
      <c r="C47" s="362"/>
      <c r="D47" s="378">
        <v>2589681.4952481035</v>
      </c>
      <c r="E47" s="379">
        <v>7617770.2599999998</v>
      </c>
      <c r="F47" s="379">
        <f t="shared" si="0"/>
        <v>5028088.7647518963</v>
      </c>
      <c r="G47" s="372">
        <f t="shared" si="1"/>
        <v>2.9415857795555596</v>
      </c>
      <c r="H47" s="362"/>
      <c r="I47" s="380">
        <v>11802978.300000001</v>
      </c>
    </row>
    <row r="48" spans="1:9" s="31" customFormat="1" x14ac:dyDescent="0.3">
      <c r="A48" s="75"/>
      <c r="B48" s="361" t="s">
        <v>104</v>
      </c>
      <c r="C48" s="362"/>
      <c r="D48" s="363">
        <v>2589681.4952481035</v>
      </c>
      <c r="E48" s="364">
        <v>7617770.2599999998</v>
      </c>
      <c r="F48" s="364">
        <f t="shared" si="0"/>
        <v>5028088.7647518963</v>
      </c>
      <c r="G48" s="365">
        <f t="shared" si="1"/>
        <v>2.9415857795555596</v>
      </c>
      <c r="H48" s="362"/>
      <c r="I48" s="366">
        <v>11802978.300000001</v>
      </c>
    </row>
    <row r="49" spans="1:9" s="31" customFormat="1" x14ac:dyDescent="0.3">
      <c r="A49" s="47"/>
      <c r="B49" s="382" t="s">
        <v>46</v>
      </c>
      <c r="C49" s="352"/>
      <c r="D49" s="383">
        <v>54753404.801047184</v>
      </c>
      <c r="E49" s="383">
        <v>64500406.369999997</v>
      </c>
      <c r="F49" s="384">
        <f t="shared" si="0"/>
        <v>9747001.5689528137</v>
      </c>
      <c r="G49" s="385">
        <f t="shared" si="1"/>
        <v>1.1780163554096712</v>
      </c>
      <c r="H49" s="352"/>
      <c r="I49" s="386">
        <v>64779435.039999999</v>
      </c>
    </row>
    <row r="50" spans="1:9" s="26" customFormat="1" x14ac:dyDescent="0.3">
      <c r="A50" s="35">
        <v>43</v>
      </c>
      <c r="B50" s="357" t="s">
        <v>47</v>
      </c>
      <c r="C50" s="347"/>
      <c r="D50" s="348">
        <f>SUM(D51:D59)</f>
        <v>25944530.297117904</v>
      </c>
      <c r="E50" s="348">
        <f>SUM(E51:E59)</f>
        <v>29180194</v>
      </c>
      <c r="F50" s="348">
        <f t="shared" si="0"/>
        <v>3235663.7028820962</v>
      </c>
      <c r="G50" s="359">
        <f t="shared" si="1"/>
        <v>1.1247146764974016</v>
      </c>
      <c r="H50" s="347"/>
      <c r="I50" s="377">
        <f>SUM(I51:I59)</f>
        <v>20868119</v>
      </c>
    </row>
    <row r="51" spans="1:9" s="26" customFormat="1" x14ac:dyDescent="0.3">
      <c r="A51" s="29"/>
      <c r="B51" s="344" t="s">
        <v>48</v>
      </c>
      <c r="C51" s="347"/>
      <c r="D51" s="353">
        <v>14839807.192638731</v>
      </c>
      <c r="E51" s="354">
        <v>15598720</v>
      </c>
      <c r="F51" s="354">
        <f t="shared" si="0"/>
        <v>758912.80736126937</v>
      </c>
      <c r="G51" s="355">
        <f t="shared" si="1"/>
        <v>1.0511403414821809</v>
      </c>
      <c r="H51" s="347"/>
      <c r="I51" s="356">
        <v>13707522</v>
      </c>
    </row>
    <row r="52" spans="1:9" s="26" customFormat="1" x14ac:dyDescent="0.3">
      <c r="A52" s="29"/>
      <c r="B52" s="344" t="s">
        <v>49</v>
      </c>
      <c r="C52" s="347"/>
      <c r="D52" s="353">
        <v>4456550.5174723156</v>
      </c>
      <c r="E52" s="354">
        <v>4467759</v>
      </c>
      <c r="F52" s="354">
        <f t="shared" si="0"/>
        <v>11208.48252768442</v>
      </c>
      <c r="G52" s="355">
        <f t="shared" si="1"/>
        <v>1.0025150578869779</v>
      </c>
      <c r="H52" s="347"/>
      <c r="I52" s="356">
        <v>4445108</v>
      </c>
    </row>
    <row r="53" spans="1:9" s="26" customFormat="1" x14ac:dyDescent="0.3">
      <c r="A53" s="29"/>
      <c r="B53" s="344" t="s">
        <v>50</v>
      </c>
      <c r="C53" s="347"/>
      <c r="D53" s="353">
        <v>352941.26830229763</v>
      </c>
      <c r="E53" s="354">
        <v>437052</v>
      </c>
      <c r="F53" s="354">
        <f t="shared" si="0"/>
        <v>84110.731697702373</v>
      </c>
      <c r="G53" s="355">
        <f t="shared" si="1"/>
        <v>1.2383136778033583</v>
      </c>
      <c r="H53" s="347"/>
      <c r="I53" s="356">
        <v>597331</v>
      </c>
    </row>
    <row r="54" spans="1:9" s="26" customFormat="1" x14ac:dyDescent="0.3">
      <c r="A54" s="29"/>
      <c r="B54" s="344" t="s">
        <v>51</v>
      </c>
      <c r="C54" s="347"/>
      <c r="D54" s="353">
        <v>2228554.8577189562</v>
      </c>
      <c r="E54" s="354">
        <v>1665975</v>
      </c>
      <c r="F54" s="354">
        <f t="shared" si="0"/>
        <v>-562579.85771895619</v>
      </c>
      <c r="G54" s="355">
        <f t="shared" si="1"/>
        <v>0.74755844319004716</v>
      </c>
      <c r="H54" s="347"/>
      <c r="I54" s="356">
        <v>566257</v>
      </c>
    </row>
    <row r="55" spans="1:9" s="26" customFormat="1" x14ac:dyDescent="0.3">
      <c r="A55" s="29"/>
      <c r="B55" s="344" t="s">
        <v>52</v>
      </c>
      <c r="C55" s="347"/>
      <c r="D55" s="353">
        <v>1014609.2073015638</v>
      </c>
      <c r="E55" s="354">
        <v>979564</v>
      </c>
      <c r="F55" s="354">
        <f t="shared" si="0"/>
        <v>-35045.207301563816</v>
      </c>
      <c r="G55" s="355">
        <f t="shared" si="1"/>
        <v>0.96545940343398873</v>
      </c>
      <c r="H55" s="347"/>
      <c r="I55" s="356">
        <v>1056696</v>
      </c>
    </row>
    <row r="56" spans="1:9" s="26" customFormat="1" x14ac:dyDescent="0.3">
      <c r="A56" s="29"/>
      <c r="B56" s="344" t="s">
        <v>53</v>
      </c>
      <c r="C56" s="347"/>
      <c r="D56" s="387">
        <v>0</v>
      </c>
      <c r="E56" s="354">
        <v>193</v>
      </c>
      <c r="F56" s="354">
        <f t="shared" si="0"/>
        <v>193</v>
      </c>
      <c r="G56" s="355">
        <f t="shared" si="1"/>
        <v>0</v>
      </c>
      <c r="H56" s="347"/>
      <c r="I56" s="356">
        <v>60</v>
      </c>
    </row>
    <row r="57" spans="1:9" s="26" customFormat="1" x14ac:dyDescent="0.3">
      <c r="A57" s="29"/>
      <c r="B57" s="344" t="s">
        <v>54</v>
      </c>
      <c r="C57" s="347"/>
      <c r="D57" s="353">
        <v>411559.1588142456</v>
      </c>
      <c r="E57" s="354">
        <v>373447</v>
      </c>
      <c r="F57" s="354">
        <f t="shared" si="0"/>
        <v>-38112.158814245602</v>
      </c>
      <c r="G57" s="355">
        <f t="shared" si="1"/>
        <v>0.90739567326347059</v>
      </c>
      <c r="H57" s="347"/>
      <c r="I57" s="356">
        <v>468871</v>
      </c>
    </row>
    <row r="58" spans="1:9" s="26" customFormat="1" x14ac:dyDescent="0.3">
      <c r="A58" s="29"/>
      <c r="B58" s="345" t="s">
        <v>55</v>
      </c>
      <c r="C58" s="347"/>
      <c r="D58" s="353">
        <v>29953.294869795725</v>
      </c>
      <c r="E58" s="354">
        <v>28736</v>
      </c>
      <c r="F58" s="354">
        <f t="shared" si="0"/>
        <v>-1217.2948697957254</v>
      </c>
      <c r="G58" s="355">
        <f t="shared" si="1"/>
        <v>0.95936023482267319</v>
      </c>
      <c r="H58" s="347"/>
      <c r="I58" s="356">
        <v>26274</v>
      </c>
    </row>
    <row r="59" spans="1:9" s="31" customFormat="1" x14ac:dyDescent="0.3">
      <c r="A59" s="29"/>
      <c r="B59" s="344" t="s">
        <v>57</v>
      </c>
      <c r="C59" s="352"/>
      <c r="D59" s="353">
        <v>2610554.8000000003</v>
      </c>
      <c r="E59" s="354">
        <v>5628748</v>
      </c>
      <c r="F59" s="354">
        <f t="shared" si="0"/>
        <v>3018193.1999999997</v>
      </c>
      <c r="G59" s="355">
        <f t="shared" si="1"/>
        <v>2.1561501026525089</v>
      </c>
      <c r="H59" s="352"/>
      <c r="I59" s="354">
        <v>0</v>
      </c>
    </row>
    <row r="60" spans="1:9" s="26" customFormat="1" x14ac:dyDescent="0.3">
      <c r="A60" s="78">
        <v>44</v>
      </c>
      <c r="B60" s="357" t="s">
        <v>59</v>
      </c>
      <c r="C60" s="367"/>
      <c r="D60" s="375">
        <f>D61+D62</f>
        <v>11515996</v>
      </c>
      <c r="E60" s="375">
        <f>E61+E62</f>
        <v>11515996</v>
      </c>
      <c r="F60" s="376">
        <f t="shared" si="0"/>
        <v>0</v>
      </c>
      <c r="G60" s="369">
        <f t="shared" si="1"/>
        <v>1</v>
      </c>
      <c r="H60" s="367"/>
      <c r="I60" s="360">
        <v>10073843</v>
      </c>
    </row>
    <row r="61" spans="1:9" s="31" customFormat="1" x14ac:dyDescent="0.3">
      <c r="A61" s="79"/>
      <c r="B61" s="370" t="s">
        <v>60</v>
      </c>
      <c r="C61" s="362"/>
      <c r="D61" s="378">
        <v>1166744</v>
      </c>
      <c r="E61" s="379">
        <v>1166744</v>
      </c>
      <c r="F61" s="379">
        <f t="shared" si="0"/>
        <v>0</v>
      </c>
      <c r="G61" s="372">
        <f t="shared" si="1"/>
        <v>1</v>
      </c>
      <c r="H61" s="362"/>
      <c r="I61" s="380">
        <v>970950</v>
      </c>
    </row>
    <row r="62" spans="1:9" s="31" customFormat="1" x14ac:dyDescent="0.3">
      <c r="A62" s="79"/>
      <c r="B62" s="370" t="s">
        <v>61</v>
      </c>
      <c r="C62" s="362"/>
      <c r="D62" s="378">
        <v>10349252</v>
      </c>
      <c r="E62" s="378">
        <v>10349252</v>
      </c>
      <c r="F62" s="379">
        <f t="shared" si="0"/>
        <v>0</v>
      </c>
      <c r="G62" s="372">
        <f t="shared" si="1"/>
        <v>1</v>
      </c>
      <c r="H62" s="362"/>
      <c r="I62" s="380">
        <v>9102893</v>
      </c>
    </row>
    <row r="63" spans="1:9" s="31" customFormat="1" x14ac:dyDescent="0.3">
      <c r="A63" s="75"/>
      <c r="B63" s="361" t="s">
        <v>118</v>
      </c>
      <c r="C63" s="362"/>
      <c r="D63" s="363">
        <f>D60+D50</f>
        <v>37460526.297117904</v>
      </c>
      <c r="E63" s="363">
        <f>E60+E50</f>
        <v>40696190</v>
      </c>
      <c r="F63" s="364">
        <f>E63-D63</f>
        <v>3235663.7028820962</v>
      </c>
      <c r="G63" s="365">
        <f t="shared" si="1"/>
        <v>1.0863752868077308</v>
      </c>
      <c r="H63" s="362"/>
      <c r="I63" s="364">
        <f>I50+I60</f>
        <v>30941962</v>
      </c>
    </row>
    <row r="64" spans="1:9" s="26" customFormat="1" x14ac:dyDescent="0.3">
      <c r="A64" s="79">
        <v>45</v>
      </c>
      <c r="B64" s="362" t="s">
        <v>63</v>
      </c>
      <c r="C64" s="367"/>
      <c r="D64" s="379">
        <v>0</v>
      </c>
      <c r="E64" s="379">
        <v>5060735.9700000007</v>
      </c>
      <c r="F64" s="379">
        <f t="shared" si="0"/>
        <v>5060735.9700000007</v>
      </c>
      <c r="G64" s="355">
        <f>IFERROR(E64/D64,0)</f>
        <v>0</v>
      </c>
      <c r="H64" s="367"/>
      <c r="I64" s="356">
        <v>19482282.870000001</v>
      </c>
    </row>
    <row r="65" spans="1:9" s="31" customFormat="1" x14ac:dyDescent="0.3">
      <c r="A65" s="47"/>
      <c r="B65" s="382" t="s">
        <v>64</v>
      </c>
      <c r="C65" s="352"/>
      <c r="D65" s="383">
        <f>D64+D63</f>
        <v>37460526.297117904</v>
      </c>
      <c r="E65" s="383">
        <f>E64+E63</f>
        <v>45756925.969999999</v>
      </c>
      <c r="F65" s="384">
        <f t="shared" si="0"/>
        <v>8296399.672882095</v>
      </c>
      <c r="G65" s="385">
        <f>IFERROR(E65/D65,0)</f>
        <v>1.221470451511526</v>
      </c>
      <c r="H65" s="352"/>
      <c r="I65" s="386">
        <f>I64+I63</f>
        <v>50424244.870000005</v>
      </c>
    </row>
    <row r="66" spans="1:9" s="26" customFormat="1" x14ac:dyDescent="0.3">
      <c r="A66" s="35">
        <v>46</v>
      </c>
      <c r="B66" s="352" t="s">
        <v>65</v>
      </c>
      <c r="C66" s="347"/>
      <c r="D66" s="387">
        <v>0</v>
      </c>
      <c r="E66" s="388">
        <v>0</v>
      </c>
      <c r="F66" s="388">
        <f t="shared" si="0"/>
        <v>0</v>
      </c>
      <c r="G66" s="355">
        <f>IFERROR(E66/D66,0)</f>
        <v>0</v>
      </c>
      <c r="H66" s="347"/>
      <c r="I66" s="389">
        <v>0</v>
      </c>
    </row>
    <row r="67" spans="1:9" s="26" customFormat="1" x14ac:dyDescent="0.3">
      <c r="A67" s="35">
        <v>47</v>
      </c>
      <c r="B67" s="352" t="s">
        <v>66</v>
      </c>
      <c r="C67" s="347"/>
      <c r="D67" s="387">
        <v>0</v>
      </c>
      <c r="E67" s="388">
        <v>0</v>
      </c>
      <c r="F67" s="388">
        <f>E67-D67</f>
        <v>0</v>
      </c>
      <c r="G67" s="355">
        <f>IFERROR(E67/D67,0)</f>
        <v>0</v>
      </c>
      <c r="H67" s="347"/>
      <c r="I67" s="389">
        <v>0</v>
      </c>
    </row>
    <row r="68" spans="1:9" s="31" customFormat="1" x14ac:dyDescent="0.3">
      <c r="A68" s="47"/>
      <c r="B68" s="382" t="s">
        <v>67</v>
      </c>
      <c r="C68" s="352"/>
      <c r="D68" s="383">
        <f>D65+D49</f>
        <v>92213931.098165095</v>
      </c>
      <c r="E68" s="383">
        <f>E65+E49</f>
        <v>110257332.34</v>
      </c>
      <c r="F68" s="384">
        <f>E68-D68</f>
        <v>18043401.241834909</v>
      </c>
      <c r="G68" s="385">
        <f>IFERROR(E68/D68,0)</f>
        <v>1.1956689301384087</v>
      </c>
      <c r="H68" s="352"/>
      <c r="I68" s="386">
        <f>I65+I49</f>
        <v>115203679.91</v>
      </c>
    </row>
    <row r="69" spans="1:9" ht="16.5" customHeight="1" x14ac:dyDescent="0.3">
      <c r="E69" s="69"/>
      <c r="F69" s="200"/>
      <c r="I69" s="127"/>
    </row>
    <row r="70" spans="1:9" x14ac:dyDescent="0.3">
      <c r="E70" s="59"/>
      <c r="F70" s="59"/>
      <c r="G70" s="59"/>
    </row>
    <row r="71" spans="1:9" s="31" customFormat="1" ht="16.5" hidden="1" customHeight="1" x14ac:dyDescent="0.3">
      <c r="A71" s="47"/>
      <c r="B71" s="85" t="s">
        <v>68</v>
      </c>
      <c r="D71" s="87"/>
      <c r="E71" s="88"/>
      <c r="F71" s="88"/>
      <c r="G71" s="88"/>
      <c r="I71" s="87">
        <v>45465632</v>
      </c>
    </row>
    <row r="72" spans="1:9" ht="12.75" hidden="1" customHeight="1" x14ac:dyDescent="0.3">
      <c r="I72" s="13">
        <v>0</v>
      </c>
    </row>
    <row r="73" spans="1:9" s="64" customFormat="1" ht="12.75" hidden="1" customHeight="1" x14ac:dyDescent="0.3">
      <c r="A73" s="63"/>
      <c r="I73" s="64">
        <v>0</v>
      </c>
    </row>
    <row r="74" spans="1:9" s="31" customFormat="1" ht="16.5" hidden="1" customHeight="1" x14ac:dyDescent="0.3">
      <c r="A74" s="47"/>
      <c r="B74" s="85" t="s">
        <v>69</v>
      </c>
      <c r="D74" s="87"/>
      <c r="E74" s="88"/>
      <c r="F74" s="88"/>
      <c r="G74" s="88"/>
      <c r="I74" s="87">
        <v>251422651.03</v>
      </c>
    </row>
    <row r="75" spans="1:9" ht="12.75" customHeight="1" x14ac:dyDescent="0.3"/>
    <row r="76" spans="1:9" ht="12.75" customHeight="1" x14ac:dyDescent="0.3">
      <c r="E76" s="58"/>
    </row>
    <row r="77" spans="1:9" x14ac:dyDescent="0.3">
      <c r="I77" s="58"/>
    </row>
    <row r="79" spans="1:9" x14ac:dyDescent="0.3">
      <c r="D79" s="58"/>
      <c r="E79" s="58"/>
      <c r="F79" s="58"/>
      <c r="G79" s="58"/>
      <c r="I79" s="71"/>
    </row>
    <row r="81" spans="5:5" x14ac:dyDescent="0.3">
      <c r="E81" s="58"/>
    </row>
    <row r="85" spans="5:5" x14ac:dyDescent="0.3">
      <c r="E85" s="58"/>
    </row>
  </sheetData>
  <mergeCells count="4">
    <mergeCell ref="A1:A2"/>
    <mergeCell ref="B1:B2"/>
    <mergeCell ref="D1:G1"/>
    <mergeCell ref="I1:I2"/>
  </mergeCells>
  <conditionalFormatting sqref="F3:F68">
    <cfRule type="cellIs" dxfId="0" priority="1" operator="lessThan">
      <formula>0</formula>
    </cfRule>
  </conditionalFormatting>
  <printOptions horizontalCentered="1" verticalCentered="1"/>
  <pageMargins left="0.70866141732283472" right="0.70866141732283472" top="1.3374031007751939" bottom="0.29864341085271318" header="0.31496062992125984" footer="9.1874999999999998E-2"/>
  <pageSetup scale="70" orientation="portrait" r:id="rId1"/>
  <headerFooter>
    <oddHeader>&amp;C&amp;"Arial Narrow,Normal"&amp;10&amp;G
Secretaría de Tesorería y Finanzas
Dirección de Ingresos
&amp;"Arial Narrow,Negrita"Avance  Acumulado de Ingresos</oddHeader>
  </headerFooter>
  <colBreaks count="1" manualBreakCount="1">
    <brk id="9" max="1048575" man="1"/>
  </colBreaks>
  <ignoredErrors>
    <ignoredError sqref="I50" formulaRange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K71"/>
  <sheetViews>
    <sheetView showGridLines="0" topLeftCell="A58" zoomScale="110" zoomScaleNormal="110" workbookViewId="0">
      <selection activeCell="D72" sqref="D72"/>
    </sheetView>
  </sheetViews>
  <sheetFormatPr baseColWidth="10" defaultRowHeight="14.4" x14ac:dyDescent="0.3"/>
  <cols>
    <col min="1" max="1" width="66.6640625" style="13" customWidth="1"/>
    <col min="2" max="3" width="9.88671875" style="160" customWidth="1"/>
    <col min="4" max="4" width="9.88671875" style="161" customWidth="1"/>
    <col min="5" max="8" width="11.109375" style="161" customWidth="1"/>
    <col min="9" max="9" width="11.109375" style="161" hidden="1" customWidth="1"/>
    <col min="10" max="11" width="11.109375" style="161" customWidth="1"/>
  </cols>
  <sheetData>
    <row r="1" spans="1:11" ht="22.95" customHeight="1" x14ac:dyDescent="0.3">
      <c r="A1" s="326" t="s">
        <v>91</v>
      </c>
      <c r="B1" s="327">
        <v>2012</v>
      </c>
      <c r="C1" s="327">
        <v>2013</v>
      </c>
      <c r="D1" s="327">
        <v>2014</v>
      </c>
      <c r="E1" s="328">
        <v>2015</v>
      </c>
      <c r="F1" s="327">
        <v>2016</v>
      </c>
      <c r="G1" s="327">
        <v>2017</v>
      </c>
      <c r="H1" s="327">
        <v>2018</v>
      </c>
      <c r="I1" s="327">
        <v>2019</v>
      </c>
      <c r="J1" s="327">
        <v>2019</v>
      </c>
      <c r="K1" s="327">
        <v>2019</v>
      </c>
    </row>
    <row r="2" spans="1:11" x14ac:dyDescent="0.3">
      <c r="A2" s="189" t="s">
        <v>3</v>
      </c>
      <c r="B2" s="164">
        <v>25050</v>
      </c>
      <c r="C2" s="164">
        <v>438668</v>
      </c>
      <c r="D2" s="164">
        <v>861438</v>
      </c>
      <c r="E2" s="165">
        <v>1387622</v>
      </c>
      <c r="F2" s="166">
        <v>1482271</v>
      </c>
      <c r="G2" s="166">
        <v>1878154.28</v>
      </c>
      <c r="H2" s="166">
        <f>H3</f>
        <v>2004437</v>
      </c>
      <c r="I2" s="166">
        <f>I3</f>
        <v>2195344</v>
      </c>
      <c r="J2" s="166">
        <v>1633807</v>
      </c>
      <c r="K2" s="166">
        <v>1633807</v>
      </c>
    </row>
    <row r="3" spans="1:11" x14ac:dyDescent="0.3">
      <c r="A3" s="168" t="s">
        <v>4</v>
      </c>
      <c r="B3" s="169">
        <v>25050</v>
      </c>
      <c r="C3" s="169">
        <v>438668</v>
      </c>
      <c r="D3" s="169">
        <v>861438</v>
      </c>
      <c r="E3" s="170">
        <v>1387622</v>
      </c>
      <c r="F3" s="171">
        <v>1482271</v>
      </c>
      <c r="G3" s="171">
        <v>1878154.28</v>
      </c>
      <c r="H3" s="171">
        <v>2004437</v>
      </c>
      <c r="I3" s="171">
        <v>2195344</v>
      </c>
      <c r="J3" s="171">
        <v>1633807</v>
      </c>
      <c r="K3" s="171">
        <v>1633807</v>
      </c>
    </row>
    <row r="4" spans="1:11" x14ac:dyDescent="0.3">
      <c r="A4" s="189" t="s">
        <v>5</v>
      </c>
      <c r="B4" s="167">
        <v>138231539</v>
      </c>
      <c r="C4" s="167">
        <v>163662587</v>
      </c>
      <c r="D4" s="167">
        <v>246126771</v>
      </c>
      <c r="E4" s="172">
        <v>335423236</v>
      </c>
      <c r="F4" s="166">
        <v>408951578</v>
      </c>
      <c r="G4" s="166">
        <v>509799626.5200001</v>
      </c>
      <c r="H4" s="166">
        <f>H5+H6+H7</f>
        <v>546491623.07999992</v>
      </c>
      <c r="I4" s="166">
        <f>I5+I6+I7</f>
        <v>519983042</v>
      </c>
      <c r="J4" s="166">
        <v>437578640.61000001</v>
      </c>
      <c r="K4" s="166">
        <v>437578640.61000001</v>
      </c>
    </row>
    <row r="5" spans="1:11" x14ac:dyDescent="0.3">
      <c r="A5" s="168" t="s">
        <v>6</v>
      </c>
      <c r="B5" s="169">
        <v>66690665</v>
      </c>
      <c r="C5" s="169">
        <v>81812873</v>
      </c>
      <c r="D5" s="169">
        <v>116209636</v>
      </c>
      <c r="E5" s="173">
        <v>131632390</v>
      </c>
      <c r="F5" s="171">
        <v>162731559</v>
      </c>
      <c r="G5" s="171">
        <v>179650492.71000001</v>
      </c>
      <c r="H5" s="171">
        <v>203342770.72</v>
      </c>
      <c r="I5" s="171">
        <v>204655760</v>
      </c>
      <c r="J5" s="171">
        <v>219240974.83999997</v>
      </c>
      <c r="K5" s="171">
        <v>219240974.83999997</v>
      </c>
    </row>
    <row r="6" spans="1:11" x14ac:dyDescent="0.3">
      <c r="A6" s="168" t="s">
        <v>7</v>
      </c>
      <c r="B6" s="169">
        <v>68212346</v>
      </c>
      <c r="C6" s="169">
        <v>78400974</v>
      </c>
      <c r="D6" s="169">
        <v>125329730</v>
      </c>
      <c r="E6" s="173">
        <v>191785657</v>
      </c>
      <c r="F6" s="171">
        <v>236406820</v>
      </c>
      <c r="G6" s="171">
        <v>311933492.81</v>
      </c>
      <c r="H6" s="171">
        <v>327735860.44</v>
      </c>
      <c r="I6" s="171">
        <v>306763227</v>
      </c>
      <c r="J6" s="171">
        <v>253304673.23000002</v>
      </c>
      <c r="K6" s="171">
        <v>253304673.23000002</v>
      </c>
    </row>
    <row r="7" spans="1:11" x14ac:dyDescent="0.3">
      <c r="A7" s="168" t="s">
        <v>8</v>
      </c>
      <c r="B7" s="169">
        <v>3328528</v>
      </c>
      <c r="C7" s="169">
        <v>3448740</v>
      </c>
      <c r="D7" s="169">
        <v>4587405</v>
      </c>
      <c r="E7" s="173">
        <v>12005189</v>
      </c>
      <c r="F7" s="171">
        <v>9813199</v>
      </c>
      <c r="G7" s="171">
        <v>18215641</v>
      </c>
      <c r="H7" s="178">
        <v>15412991.92</v>
      </c>
      <c r="I7" s="171">
        <v>8564055</v>
      </c>
      <c r="J7" s="171">
        <v>9142378.8100000005</v>
      </c>
      <c r="K7" s="171">
        <v>9142378.8100000005</v>
      </c>
    </row>
    <row r="8" spans="1:11" x14ac:dyDescent="0.3">
      <c r="A8" s="189" t="s">
        <v>9</v>
      </c>
      <c r="B8" s="164">
        <v>9144791</v>
      </c>
      <c r="C8" s="164">
        <v>11994620</v>
      </c>
      <c r="D8" s="164">
        <v>16115167</v>
      </c>
      <c r="E8" s="172">
        <v>18380737</v>
      </c>
      <c r="F8" s="166">
        <v>19897955</v>
      </c>
      <c r="G8" s="166">
        <v>20233659.75</v>
      </c>
      <c r="H8" s="166">
        <f>H9</f>
        <v>16022347.07</v>
      </c>
      <c r="I8" s="166">
        <f>I9</f>
        <v>18802140</v>
      </c>
      <c r="J8" s="166">
        <v>13284025.460000001</v>
      </c>
      <c r="K8" s="166">
        <v>13284025.460000001</v>
      </c>
    </row>
    <row r="9" spans="1:11" x14ac:dyDescent="0.3">
      <c r="A9" s="168" t="s">
        <v>10</v>
      </c>
      <c r="B9" s="169">
        <v>9144791</v>
      </c>
      <c r="C9" s="169">
        <v>11994620</v>
      </c>
      <c r="D9" s="169">
        <v>16115167</v>
      </c>
      <c r="E9" s="173">
        <v>18380737</v>
      </c>
      <c r="F9" s="171">
        <v>19897955</v>
      </c>
      <c r="G9" s="171">
        <v>20233659.75</v>
      </c>
      <c r="H9" s="171">
        <v>16022347.07</v>
      </c>
      <c r="I9" s="171">
        <v>18802140</v>
      </c>
      <c r="J9" s="171">
        <v>13284025.460000001</v>
      </c>
      <c r="K9" s="171">
        <v>13284025.460000001</v>
      </c>
    </row>
    <row r="10" spans="1:11" x14ac:dyDescent="0.3">
      <c r="A10" s="189" t="s">
        <v>11</v>
      </c>
      <c r="B10" s="164">
        <v>50099631</v>
      </c>
      <c r="C10" s="164">
        <v>80824294</v>
      </c>
      <c r="D10" s="164">
        <v>11651700</v>
      </c>
      <c r="E10" s="172">
        <v>4435925</v>
      </c>
      <c r="F10" s="166">
        <v>3119583</v>
      </c>
      <c r="G10" s="166">
        <v>2290068.2499999995</v>
      </c>
      <c r="H10" s="323">
        <f>H11</f>
        <v>2408395.37</v>
      </c>
      <c r="I10" s="323">
        <f>I11</f>
        <v>672729</v>
      </c>
      <c r="J10" s="323">
        <v>1060171.6000000001</v>
      </c>
      <c r="K10" s="323">
        <v>1060171.6000000001</v>
      </c>
    </row>
    <row r="11" spans="1:11" x14ac:dyDescent="0.3">
      <c r="A11" s="168" t="s">
        <v>12</v>
      </c>
      <c r="B11" s="169">
        <v>50099631</v>
      </c>
      <c r="C11" s="169">
        <v>80824294</v>
      </c>
      <c r="D11" s="169">
        <v>11651700</v>
      </c>
      <c r="E11" s="173">
        <v>4435925</v>
      </c>
      <c r="F11" s="171">
        <v>3119583</v>
      </c>
      <c r="G11" s="171">
        <v>2290068.2499999995</v>
      </c>
      <c r="H11" s="171">
        <v>2408395.37</v>
      </c>
      <c r="I11" s="171">
        <v>672729</v>
      </c>
      <c r="J11" s="171">
        <v>1060171.6000000001</v>
      </c>
      <c r="K11" s="171">
        <v>1060171.6000000001</v>
      </c>
    </row>
    <row r="12" spans="1:11" s="162" customFormat="1" ht="13.8" x14ac:dyDescent="0.3">
      <c r="A12" s="189" t="s">
        <v>13</v>
      </c>
      <c r="B12" s="174">
        <v>0</v>
      </c>
      <c r="C12" s="164">
        <v>3505326</v>
      </c>
      <c r="D12" s="164">
        <v>26076806</v>
      </c>
      <c r="E12" s="175">
        <v>38623244</v>
      </c>
      <c r="F12" s="176">
        <v>63257413</v>
      </c>
      <c r="G12" s="176">
        <v>62830642.749999985</v>
      </c>
      <c r="H12" s="176">
        <f>H13+H15+H14</f>
        <v>60245678.900000006</v>
      </c>
      <c r="I12" s="176">
        <f>I13+I15+I14</f>
        <v>60144766</v>
      </c>
      <c r="J12" s="176">
        <v>67787691.289999992</v>
      </c>
      <c r="K12" s="176">
        <v>67787691.289999992</v>
      </c>
    </row>
    <row r="13" spans="1:11" s="162" customFormat="1" ht="13.8" x14ac:dyDescent="0.3">
      <c r="A13" s="168" t="s">
        <v>6</v>
      </c>
      <c r="B13" s="177">
        <v>0</v>
      </c>
      <c r="C13" s="169">
        <v>3505326</v>
      </c>
      <c r="D13" s="169">
        <v>12312257.301350676</v>
      </c>
      <c r="E13" s="173">
        <v>25577813</v>
      </c>
      <c r="F13" s="178">
        <v>26100291</v>
      </c>
      <c r="G13" s="178">
        <v>31277893.560000006</v>
      </c>
      <c r="H13" s="178">
        <v>36461348.829999998</v>
      </c>
      <c r="I13" s="178">
        <v>40175172</v>
      </c>
      <c r="J13" s="178">
        <v>26513667.360000003</v>
      </c>
      <c r="K13" s="178">
        <v>26513667.360000003</v>
      </c>
    </row>
    <row r="14" spans="1:11" s="162" customFormat="1" ht="13.8" x14ac:dyDescent="0.3">
      <c r="A14" s="168" t="s">
        <v>7</v>
      </c>
      <c r="B14" s="177">
        <v>0</v>
      </c>
      <c r="C14" s="177">
        <v>0</v>
      </c>
      <c r="D14" s="169">
        <v>13278519.203595206</v>
      </c>
      <c r="E14" s="179">
        <v>11452185</v>
      </c>
      <c r="F14" s="178">
        <v>34166240</v>
      </c>
      <c r="G14" s="178">
        <v>30145555.23</v>
      </c>
      <c r="H14" s="178">
        <v>22233515.260000002</v>
      </c>
      <c r="I14" s="178">
        <v>19272170</v>
      </c>
      <c r="J14" s="178">
        <v>39634206.119999997</v>
      </c>
      <c r="K14" s="178">
        <v>39634206.119999997</v>
      </c>
    </row>
    <row r="15" spans="1:11" s="162" customFormat="1" ht="13.8" x14ac:dyDescent="0.3">
      <c r="A15" s="168" t="s">
        <v>8</v>
      </c>
      <c r="B15" s="177">
        <v>0</v>
      </c>
      <c r="C15" s="177">
        <v>0</v>
      </c>
      <c r="D15" s="169">
        <v>486029.49505411583</v>
      </c>
      <c r="E15" s="179">
        <v>1593245</v>
      </c>
      <c r="F15" s="178">
        <v>2990882</v>
      </c>
      <c r="G15" s="178">
        <v>1407193.96</v>
      </c>
      <c r="H15" s="178">
        <v>1550814.81</v>
      </c>
      <c r="I15" s="178">
        <v>697424</v>
      </c>
      <c r="J15" s="178">
        <v>1639817.81</v>
      </c>
      <c r="K15" s="178">
        <v>1639817.81</v>
      </c>
    </row>
    <row r="16" spans="1:11" s="162" customFormat="1" ht="13.8" x14ac:dyDescent="0.3">
      <c r="A16" s="339" t="s">
        <v>107</v>
      </c>
      <c r="B16" s="190">
        <v>197501010</v>
      </c>
      <c r="C16" s="190">
        <v>260425494</v>
      </c>
      <c r="D16" s="190">
        <v>300831882</v>
      </c>
      <c r="E16" s="190">
        <v>398250762</v>
      </c>
      <c r="F16" s="191">
        <v>496708799</v>
      </c>
      <c r="G16" s="191">
        <v>597032151.55000007</v>
      </c>
      <c r="H16" s="191">
        <f>H2+H4+H8+H10+H12</f>
        <v>627172481.41999996</v>
      </c>
      <c r="I16" s="191">
        <f>I2+I4+I8+I10+I12</f>
        <v>601798021</v>
      </c>
      <c r="J16" s="191">
        <v>562592146.17999995</v>
      </c>
      <c r="K16" s="191">
        <v>562592146.17999995</v>
      </c>
    </row>
    <row r="17" spans="1:11" s="162" customFormat="1" ht="13.8" x14ac:dyDescent="0.3">
      <c r="A17" s="189" t="s">
        <v>15</v>
      </c>
      <c r="B17" s="164"/>
      <c r="C17" s="164"/>
      <c r="D17" s="164"/>
      <c r="E17" s="172"/>
      <c r="F17" s="166"/>
      <c r="G17" s="316"/>
      <c r="H17" s="316"/>
      <c r="I17" s="316"/>
      <c r="J17" s="316">
        <v>0</v>
      </c>
      <c r="K17" s="316">
        <v>0</v>
      </c>
    </row>
    <row r="18" spans="1:11" s="162" customFormat="1" ht="13.8" x14ac:dyDescent="0.3">
      <c r="A18" s="168" t="s">
        <v>16</v>
      </c>
      <c r="B18" s="169">
        <v>272150</v>
      </c>
      <c r="C18" s="169">
        <v>216750</v>
      </c>
      <c r="D18" s="169">
        <v>16200</v>
      </c>
      <c r="E18" s="173">
        <v>439089</v>
      </c>
      <c r="F18" s="171">
        <v>3200</v>
      </c>
      <c r="G18" s="177">
        <v>0</v>
      </c>
      <c r="H18" s="177">
        <v>0</v>
      </c>
      <c r="I18" s="177">
        <v>0</v>
      </c>
      <c r="J18" s="177">
        <v>0</v>
      </c>
      <c r="K18" s="177">
        <v>0</v>
      </c>
    </row>
    <row r="19" spans="1:11" s="162" customFormat="1" ht="13.8" x14ac:dyDescent="0.3">
      <c r="A19" s="168" t="s">
        <v>17</v>
      </c>
      <c r="B19" s="177">
        <v>0</v>
      </c>
      <c r="C19" s="169">
        <v>712</v>
      </c>
      <c r="D19" s="177">
        <v>0</v>
      </c>
      <c r="E19" s="177">
        <v>0</v>
      </c>
      <c r="F19" s="177">
        <v>0</v>
      </c>
      <c r="G19" s="177">
        <v>0</v>
      </c>
      <c r="H19" s="177">
        <v>0</v>
      </c>
      <c r="I19" s="177">
        <v>0</v>
      </c>
      <c r="J19" s="177">
        <v>0</v>
      </c>
      <c r="K19" s="177">
        <v>0</v>
      </c>
    </row>
    <row r="20" spans="1:11" s="162" customFormat="1" ht="13.8" x14ac:dyDescent="0.3">
      <c r="A20" s="339" t="s">
        <v>113</v>
      </c>
      <c r="B20" s="192">
        <v>272150</v>
      </c>
      <c r="C20" s="192">
        <v>217462</v>
      </c>
      <c r="D20" s="192">
        <v>16200</v>
      </c>
      <c r="E20" s="192">
        <v>439089</v>
      </c>
      <c r="F20" s="192">
        <v>3200</v>
      </c>
      <c r="G20" s="325">
        <v>0</v>
      </c>
      <c r="H20" s="325">
        <v>0</v>
      </c>
      <c r="I20" s="325">
        <v>0</v>
      </c>
      <c r="J20" s="325">
        <v>0</v>
      </c>
      <c r="K20" s="325">
        <v>0</v>
      </c>
    </row>
    <row r="21" spans="1:11" s="162" customFormat="1" ht="13.8" x14ac:dyDescent="0.3">
      <c r="A21" s="189" t="s">
        <v>19</v>
      </c>
      <c r="B21" s="164">
        <v>560483</v>
      </c>
      <c r="C21" s="164">
        <v>631502</v>
      </c>
      <c r="D21" s="164">
        <v>889554</v>
      </c>
      <c r="E21" s="172">
        <v>1259210</v>
      </c>
      <c r="F21" s="166">
        <v>2103937</v>
      </c>
      <c r="G21" s="166">
        <v>2283652.4899999998</v>
      </c>
      <c r="H21" s="166">
        <f>H22</f>
        <v>2339440.88</v>
      </c>
      <c r="I21" s="166">
        <f>I22</f>
        <v>2781653</v>
      </c>
      <c r="J21" s="166">
        <v>2318134.4</v>
      </c>
      <c r="K21" s="166">
        <v>2318134.4</v>
      </c>
    </row>
    <row r="22" spans="1:11" s="162" customFormat="1" ht="13.8" x14ac:dyDescent="0.3">
      <c r="A22" s="168" t="s">
        <v>20</v>
      </c>
      <c r="B22" s="169">
        <v>560483</v>
      </c>
      <c r="C22" s="169">
        <v>631502</v>
      </c>
      <c r="D22" s="169">
        <v>889554</v>
      </c>
      <c r="E22" s="173">
        <v>1259210</v>
      </c>
      <c r="F22" s="178">
        <v>2103937</v>
      </c>
      <c r="G22" s="178">
        <v>2283652.4899999998</v>
      </c>
      <c r="H22" s="178">
        <v>2339440.88</v>
      </c>
      <c r="I22" s="178">
        <v>2781653</v>
      </c>
      <c r="J22" s="178">
        <v>2318134.4</v>
      </c>
      <c r="K22" s="178">
        <v>2318134.4</v>
      </c>
    </row>
    <row r="23" spans="1:11" s="162" customFormat="1" ht="13.8" x14ac:dyDescent="0.3">
      <c r="A23" s="189" t="s">
        <v>21</v>
      </c>
      <c r="B23" s="164">
        <v>45986151</v>
      </c>
      <c r="C23" s="164">
        <v>64578513</v>
      </c>
      <c r="D23" s="164">
        <v>79934924</v>
      </c>
      <c r="E23" s="172">
        <v>120415846</v>
      </c>
      <c r="F23" s="180">
        <v>110630935</v>
      </c>
      <c r="G23" s="180">
        <v>137206251.06999999</v>
      </c>
      <c r="H23" s="180">
        <f>H24+H25+H26+H27+H28+H29+H30+H31+H32+H33+H34+H35+H36</f>
        <v>136689339.92000002</v>
      </c>
      <c r="I23" s="180">
        <f>I24+I25+I26+I27+I28+I29+I30+I31+I32+I33+I34+I35+I36</f>
        <v>145425949</v>
      </c>
      <c r="J23" s="180">
        <v>108965190.77000001</v>
      </c>
      <c r="K23" s="180">
        <v>108965190.77000001</v>
      </c>
    </row>
    <row r="24" spans="1:11" s="162" customFormat="1" ht="13.8" x14ac:dyDescent="0.3">
      <c r="A24" s="168" t="s">
        <v>22</v>
      </c>
      <c r="B24" s="169">
        <v>207430</v>
      </c>
      <c r="C24" s="169">
        <v>1846741</v>
      </c>
      <c r="D24" s="169">
        <v>2796231</v>
      </c>
      <c r="E24" s="173">
        <v>2892119</v>
      </c>
      <c r="F24" s="178">
        <v>3596713</v>
      </c>
      <c r="G24" s="178">
        <v>4326230.16</v>
      </c>
      <c r="H24" s="178">
        <v>4442905.7300000004</v>
      </c>
      <c r="I24" s="178">
        <v>5927896</v>
      </c>
      <c r="J24" s="178">
        <v>4148890.0300000007</v>
      </c>
      <c r="K24" s="178">
        <v>4148890.0300000007</v>
      </c>
    </row>
    <row r="25" spans="1:11" s="162" customFormat="1" ht="13.8" x14ac:dyDescent="0.3">
      <c r="A25" s="168" t="s">
        <v>23</v>
      </c>
      <c r="B25" s="169">
        <v>17705235</v>
      </c>
      <c r="C25" s="169">
        <v>28994448</v>
      </c>
      <c r="D25" s="169">
        <v>30840016</v>
      </c>
      <c r="E25" s="173">
        <v>71722520</v>
      </c>
      <c r="F25" s="178">
        <v>52820547</v>
      </c>
      <c r="G25" s="178">
        <v>64096706.25</v>
      </c>
      <c r="H25" s="178">
        <v>69290056.680000007</v>
      </c>
      <c r="I25" s="178">
        <v>60478415</v>
      </c>
      <c r="J25" s="178">
        <v>40049970</v>
      </c>
      <c r="K25" s="178">
        <v>40049970</v>
      </c>
    </row>
    <row r="26" spans="1:11" s="162" customFormat="1" ht="13.8" x14ac:dyDescent="0.3">
      <c r="A26" s="168" t="s">
        <v>24</v>
      </c>
      <c r="B26" s="177">
        <v>0</v>
      </c>
      <c r="C26" s="177">
        <v>0</v>
      </c>
      <c r="D26" s="177">
        <v>0</v>
      </c>
      <c r="E26" s="177">
        <v>0</v>
      </c>
      <c r="F26" s="177">
        <v>0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</row>
    <row r="27" spans="1:11" s="162" customFormat="1" ht="13.8" x14ac:dyDescent="0.3">
      <c r="A27" s="168" t="s">
        <v>25</v>
      </c>
      <c r="B27" s="169">
        <v>0</v>
      </c>
      <c r="C27" s="169">
        <v>15012243</v>
      </c>
      <c r="D27" s="169">
        <v>24137061</v>
      </c>
      <c r="E27" s="173">
        <v>18545781</v>
      </c>
      <c r="F27" s="178">
        <v>19216811</v>
      </c>
      <c r="G27" s="178">
        <v>27476783.959999997</v>
      </c>
      <c r="H27" s="178">
        <v>16984125.539999999</v>
      </c>
      <c r="I27" s="178">
        <v>26032730</v>
      </c>
      <c r="J27" s="178">
        <v>30207823.310000002</v>
      </c>
      <c r="K27" s="178">
        <v>30207823.310000002</v>
      </c>
    </row>
    <row r="28" spans="1:11" s="162" customFormat="1" ht="13.8" x14ac:dyDescent="0.3">
      <c r="A28" s="168" t="s">
        <v>26</v>
      </c>
      <c r="B28" s="169">
        <v>1915687</v>
      </c>
      <c r="C28" s="169">
        <v>2012062</v>
      </c>
      <c r="D28" s="169">
        <v>2718793</v>
      </c>
      <c r="E28" s="173">
        <v>2933832</v>
      </c>
      <c r="F28" s="178">
        <v>3664988</v>
      </c>
      <c r="G28" s="178">
        <v>4002235.5</v>
      </c>
      <c r="H28" s="178">
        <v>4342477.43</v>
      </c>
      <c r="I28" s="178">
        <v>4488442</v>
      </c>
      <c r="J28" s="178">
        <v>4143127.5</v>
      </c>
      <c r="K28" s="178">
        <v>4143127.5</v>
      </c>
    </row>
    <row r="29" spans="1:11" s="162" customFormat="1" ht="13.8" x14ac:dyDescent="0.3">
      <c r="A29" s="168" t="s">
        <v>27</v>
      </c>
      <c r="B29" s="169"/>
      <c r="C29" s="169">
        <v>131303</v>
      </c>
      <c r="D29" s="169">
        <v>22639</v>
      </c>
      <c r="E29" s="173">
        <v>33004</v>
      </c>
      <c r="F29" s="178">
        <v>25911</v>
      </c>
      <c r="G29" s="178">
        <v>240858</v>
      </c>
      <c r="H29" s="178">
        <v>218836.81</v>
      </c>
      <c r="I29" s="178">
        <v>201641</v>
      </c>
      <c r="J29" s="178">
        <v>4200</v>
      </c>
      <c r="K29" s="178">
        <v>4200</v>
      </c>
    </row>
    <row r="30" spans="1:11" s="162" customFormat="1" ht="13.8" x14ac:dyDescent="0.3">
      <c r="A30" s="168" t="s">
        <v>28</v>
      </c>
      <c r="B30" s="169">
        <v>1885854</v>
      </c>
      <c r="C30" s="169">
        <v>2111211</v>
      </c>
      <c r="D30" s="169">
        <v>3008716</v>
      </c>
      <c r="E30" s="173">
        <v>3651676</v>
      </c>
      <c r="F30" s="178">
        <v>5038629</v>
      </c>
      <c r="G30" s="178">
        <v>6720711.5800000001</v>
      </c>
      <c r="H30" s="178">
        <v>6959837.2199999997</v>
      </c>
      <c r="I30" s="178">
        <v>8791246</v>
      </c>
      <c r="J30" s="178">
        <v>6815619.620000001</v>
      </c>
      <c r="K30" s="178">
        <v>6815619.620000001</v>
      </c>
    </row>
    <row r="31" spans="1:11" s="162" customFormat="1" ht="13.8" x14ac:dyDescent="0.3">
      <c r="A31" s="168" t="s">
        <v>29</v>
      </c>
      <c r="B31" s="169">
        <v>395029</v>
      </c>
      <c r="C31" s="169">
        <v>1209637</v>
      </c>
      <c r="D31" s="169">
        <v>1165946</v>
      </c>
      <c r="E31" s="179">
        <v>1104922</v>
      </c>
      <c r="F31" s="178">
        <v>919739</v>
      </c>
      <c r="G31" s="178">
        <v>1230431</v>
      </c>
      <c r="H31" s="178">
        <v>2181884.6</v>
      </c>
      <c r="I31" s="178">
        <v>1661681</v>
      </c>
      <c r="J31" s="178">
        <v>1641288.5</v>
      </c>
      <c r="K31" s="178">
        <v>1641288.5</v>
      </c>
    </row>
    <row r="32" spans="1:11" s="162" customFormat="1" ht="13.8" x14ac:dyDescent="0.3">
      <c r="A32" s="168" t="s">
        <v>30</v>
      </c>
      <c r="B32" s="169">
        <v>3916313</v>
      </c>
      <c r="C32" s="169">
        <v>4395053</v>
      </c>
      <c r="D32" s="169">
        <v>4072777</v>
      </c>
      <c r="E32" s="179">
        <v>4378095</v>
      </c>
      <c r="F32" s="178">
        <v>8440693</v>
      </c>
      <c r="G32" s="178">
        <v>9702348.5</v>
      </c>
      <c r="H32" s="178">
        <v>9914122.0600000005</v>
      </c>
      <c r="I32" s="178">
        <v>15517360</v>
      </c>
      <c r="J32" s="178">
        <v>8080910.2800000003</v>
      </c>
      <c r="K32" s="178">
        <v>8080910.2800000003</v>
      </c>
    </row>
    <row r="33" spans="1:11" s="162" customFormat="1" ht="13.8" x14ac:dyDescent="0.3">
      <c r="A33" s="168" t="s">
        <v>31</v>
      </c>
      <c r="B33" s="169"/>
      <c r="C33" s="169"/>
      <c r="D33" s="169">
        <v>1650</v>
      </c>
      <c r="E33" s="177">
        <v>0</v>
      </c>
      <c r="F33" s="177">
        <v>0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</row>
    <row r="34" spans="1:11" s="162" customFormat="1" ht="13.8" x14ac:dyDescent="0.3">
      <c r="A34" s="168" t="s">
        <v>32</v>
      </c>
      <c r="B34" s="169">
        <v>832134</v>
      </c>
      <c r="C34" s="169">
        <v>1313861</v>
      </c>
      <c r="D34" s="169">
        <v>1847365</v>
      </c>
      <c r="E34" s="179">
        <v>4308922</v>
      </c>
      <c r="F34" s="178">
        <v>3834940</v>
      </c>
      <c r="G34" s="178">
        <v>5865144</v>
      </c>
      <c r="H34" s="178">
        <v>6799454</v>
      </c>
      <c r="I34" s="178">
        <v>9462164</v>
      </c>
      <c r="J34" s="178">
        <v>2368675</v>
      </c>
      <c r="K34" s="178">
        <v>2368675</v>
      </c>
    </row>
    <row r="35" spans="1:11" s="162" customFormat="1" ht="13.8" x14ac:dyDescent="0.3">
      <c r="A35" s="168" t="s">
        <v>33</v>
      </c>
      <c r="B35" s="169">
        <v>63</v>
      </c>
      <c r="C35" s="177">
        <v>0</v>
      </c>
      <c r="D35" s="177">
        <v>0</v>
      </c>
      <c r="E35" s="177">
        <v>0</v>
      </c>
      <c r="F35" s="177">
        <v>0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</row>
    <row r="36" spans="1:11" s="162" customFormat="1" ht="13.8" x14ac:dyDescent="0.3">
      <c r="A36" s="168" t="s">
        <v>34</v>
      </c>
      <c r="B36" s="169">
        <v>19128406</v>
      </c>
      <c r="C36" s="169">
        <v>7551954</v>
      </c>
      <c r="D36" s="169">
        <v>9323729</v>
      </c>
      <c r="E36" s="179">
        <v>10844975</v>
      </c>
      <c r="F36" s="178">
        <v>13071965</v>
      </c>
      <c r="G36" s="178">
        <v>13544802.119999999</v>
      </c>
      <c r="H36" s="178">
        <v>15555639.85</v>
      </c>
      <c r="I36" s="178">
        <v>12864374</v>
      </c>
      <c r="J36" s="178">
        <v>11504686.530000001</v>
      </c>
      <c r="K36" s="178">
        <v>11504686.530000001</v>
      </c>
    </row>
    <row r="37" spans="1:11" s="162" customFormat="1" ht="13.8" x14ac:dyDescent="0.3">
      <c r="A37" s="189" t="s">
        <v>35</v>
      </c>
      <c r="B37" s="164">
        <v>563527</v>
      </c>
      <c r="C37" s="164">
        <v>572274</v>
      </c>
      <c r="D37" s="164">
        <v>412862</v>
      </c>
      <c r="E37" s="172">
        <v>454937</v>
      </c>
      <c r="F37" s="180">
        <v>275365</v>
      </c>
      <c r="G37" s="180">
        <v>348027.87</v>
      </c>
      <c r="H37" s="180">
        <f>H38</f>
        <v>542751.26</v>
      </c>
      <c r="I37" s="322">
        <f>I38</f>
        <v>0</v>
      </c>
      <c r="J37" s="322">
        <v>1584975.9000000001</v>
      </c>
      <c r="K37" s="322">
        <v>1584975.9000000001</v>
      </c>
    </row>
    <row r="38" spans="1:11" s="162" customFormat="1" ht="13.8" x14ac:dyDescent="0.3">
      <c r="A38" s="168" t="s">
        <v>36</v>
      </c>
      <c r="B38" s="169">
        <v>563527</v>
      </c>
      <c r="C38" s="169">
        <v>572274</v>
      </c>
      <c r="D38" s="169">
        <v>412862</v>
      </c>
      <c r="E38" s="173">
        <v>454937</v>
      </c>
      <c r="F38" s="178">
        <v>275365</v>
      </c>
      <c r="G38" s="178">
        <v>348027.87</v>
      </c>
      <c r="H38" s="178">
        <v>542751.26</v>
      </c>
      <c r="I38" s="321">
        <v>0</v>
      </c>
      <c r="J38" s="321">
        <v>1584975.9000000001</v>
      </c>
      <c r="K38" s="321">
        <v>1584975.9000000001</v>
      </c>
    </row>
    <row r="39" spans="1:11" s="162" customFormat="1" ht="13.8" x14ac:dyDescent="0.3">
      <c r="A39" s="189" t="s">
        <v>37</v>
      </c>
      <c r="B39" s="174">
        <v>0</v>
      </c>
      <c r="C39" s="164">
        <v>117482</v>
      </c>
      <c r="D39" s="164">
        <v>105144</v>
      </c>
      <c r="E39" s="172">
        <v>76017</v>
      </c>
      <c r="F39" s="180">
        <v>104400</v>
      </c>
      <c r="G39" s="180">
        <v>92470</v>
      </c>
      <c r="H39" s="180">
        <f>H40</f>
        <v>74550</v>
      </c>
      <c r="I39" s="322">
        <v>0</v>
      </c>
      <c r="J39" s="322">
        <v>55800</v>
      </c>
      <c r="K39" s="322">
        <v>55800</v>
      </c>
    </row>
    <row r="40" spans="1:11" s="162" customFormat="1" ht="13.8" x14ac:dyDescent="0.3">
      <c r="A40" s="168" t="s">
        <v>38</v>
      </c>
      <c r="B40" s="177">
        <v>0</v>
      </c>
      <c r="C40" s="169">
        <v>117482</v>
      </c>
      <c r="D40" s="169">
        <v>105144</v>
      </c>
      <c r="E40" s="173">
        <v>76017</v>
      </c>
      <c r="F40" s="178">
        <v>104400</v>
      </c>
      <c r="G40" s="178">
        <v>92470</v>
      </c>
      <c r="H40" s="178">
        <v>74550</v>
      </c>
      <c r="I40" s="321">
        <v>0</v>
      </c>
      <c r="J40" s="321">
        <v>55800</v>
      </c>
      <c r="K40" s="321">
        <v>55800</v>
      </c>
    </row>
    <row r="41" spans="1:11" s="162" customFormat="1" ht="13.8" x14ac:dyDescent="0.3">
      <c r="A41" s="189" t="s">
        <v>39</v>
      </c>
      <c r="B41" s="164">
        <v>17225962</v>
      </c>
      <c r="C41" s="177">
        <v>0</v>
      </c>
      <c r="D41" s="164">
        <v>3156886</v>
      </c>
      <c r="E41" s="172">
        <v>1837520</v>
      </c>
      <c r="F41" s="180">
        <v>1162889</v>
      </c>
      <c r="G41" s="180">
        <v>184292.98</v>
      </c>
      <c r="H41" s="180">
        <f>H42</f>
        <v>141585.09</v>
      </c>
      <c r="I41" s="180">
        <f>I42</f>
        <v>214302</v>
      </c>
      <c r="J41" s="180">
        <v>331918</v>
      </c>
      <c r="K41" s="180">
        <v>331918</v>
      </c>
    </row>
    <row r="42" spans="1:11" s="162" customFormat="1" ht="13.8" x14ac:dyDescent="0.3">
      <c r="A42" s="168" t="s">
        <v>40</v>
      </c>
      <c r="B42" s="169">
        <v>17225962</v>
      </c>
      <c r="C42" s="177">
        <v>0</v>
      </c>
      <c r="D42" s="169">
        <v>3156886</v>
      </c>
      <c r="E42" s="179">
        <v>1837520</v>
      </c>
      <c r="F42" s="178">
        <v>1162889</v>
      </c>
      <c r="G42" s="178">
        <v>184292.98</v>
      </c>
      <c r="H42" s="178">
        <v>141585.09</v>
      </c>
      <c r="I42" s="178">
        <v>214302</v>
      </c>
      <c r="J42" s="178">
        <v>331918</v>
      </c>
      <c r="K42" s="178">
        <v>331918</v>
      </c>
    </row>
    <row r="43" spans="1:11" s="162" customFormat="1" ht="13.8" x14ac:dyDescent="0.3">
      <c r="A43" s="339" t="s">
        <v>106</v>
      </c>
      <c r="B43" s="192">
        <v>64336123</v>
      </c>
      <c r="C43" s="192">
        <v>65899772</v>
      </c>
      <c r="D43" s="192">
        <v>84499369</v>
      </c>
      <c r="E43" s="190">
        <v>124043530</v>
      </c>
      <c r="F43" s="191">
        <v>114277525</v>
      </c>
      <c r="G43" s="191">
        <v>140114694.41</v>
      </c>
      <c r="H43" s="191">
        <f>H21+H23+H37+H39+H41</f>
        <v>139787667.15000001</v>
      </c>
      <c r="I43" s="191">
        <f>I21+I23+I37+I39+I41</f>
        <v>148421904</v>
      </c>
      <c r="J43" s="191">
        <v>113256018.62</v>
      </c>
      <c r="K43" s="191">
        <v>113256018.62</v>
      </c>
    </row>
    <row r="44" spans="1:11" s="162" customFormat="1" ht="13.8" x14ac:dyDescent="0.3">
      <c r="A44" s="168" t="s">
        <v>42</v>
      </c>
      <c r="B44" s="169">
        <v>85087</v>
      </c>
      <c r="C44" s="169">
        <v>3912161</v>
      </c>
      <c r="D44" s="169">
        <v>4709459</v>
      </c>
      <c r="E44" s="173">
        <v>6225957</v>
      </c>
      <c r="F44" s="171">
        <v>12947866</v>
      </c>
      <c r="G44" s="171">
        <v>30146415.569999997</v>
      </c>
      <c r="H44" s="171">
        <v>29170428.940000001</v>
      </c>
      <c r="I44" s="171">
        <v>17463348</v>
      </c>
      <c r="J44" s="171">
        <v>20783809.030000001</v>
      </c>
      <c r="K44" s="171">
        <v>20783809.030000001</v>
      </c>
    </row>
    <row r="45" spans="1:11" s="162" customFormat="1" ht="13.8" x14ac:dyDescent="0.3">
      <c r="A45" s="339" t="s">
        <v>105</v>
      </c>
      <c r="B45" s="192">
        <v>85087</v>
      </c>
      <c r="C45" s="192">
        <v>3912161</v>
      </c>
      <c r="D45" s="192">
        <v>4709459</v>
      </c>
      <c r="E45" s="190">
        <v>6225956</v>
      </c>
      <c r="F45" s="191">
        <v>12947866</v>
      </c>
      <c r="G45" s="191">
        <v>30146415.569999997</v>
      </c>
      <c r="H45" s="191">
        <f>H44</f>
        <v>29170428.940000001</v>
      </c>
      <c r="I45" s="191">
        <f>I44</f>
        <v>17463348</v>
      </c>
      <c r="J45" s="191">
        <v>20783809.030000001</v>
      </c>
      <c r="K45" s="191">
        <v>20783809.030000001</v>
      </c>
    </row>
    <row r="46" spans="1:11" s="162" customFormat="1" ht="13.8" x14ac:dyDescent="0.3">
      <c r="A46" s="168" t="s">
        <v>44</v>
      </c>
      <c r="B46" s="169">
        <v>4761519</v>
      </c>
      <c r="C46" s="169">
        <v>14383490</v>
      </c>
      <c r="D46" s="169">
        <v>41261601</v>
      </c>
      <c r="E46" s="173">
        <v>45001006</v>
      </c>
      <c r="F46" s="171">
        <v>91592239</v>
      </c>
      <c r="G46" s="171">
        <v>58357475.43</v>
      </c>
      <c r="H46" s="171">
        <v>78285778.560000002</v>
      </c>
      <c r="I46" s="171">
        <v>29109911</v>
      </c>
      <c r="J46" s="171">
        <v>19257092.41</v>
      </c>
      <c r="K46" s="171">
        <v>19257092.41</v>
      </c>
    </row>
    <row r="47" spans="1:11" s="162" customFormat="1" ht="13.8" x14ac:dyDescent="0.3">
      <c r="A47" s="339" t="s">
        <v>104</v>
      </c>
      <c r="B47" s="192">
        <v>4761519</v>
      </c>
      <c r="C47" s="192">
        <v>14383490</v>
      </c>
      <c r="D47" s="192">
        <v>41261601</v>
      </c>
      <c r="E47" s="190">
        <v>45001006</v>
      </c>
      <c r="F47" s="191">
        <v>91592239</v>
      </c>
      <c r="G47" s="191">
        <v>58357475.43</v>
      </c>
      <c r="H47" s="191">
        <f>H46</f>
        <v>78285778.560000002</v>
      </c>
      <c r="I47" s="191">
        <f>I46</f>
        <v>29109911</v>
      </c>
      <c r="J47" s="191">
        <v>19257092.41</v>
      </c>
      <c r="K47" s="191">
        <v>19257092.41</v>
      </c>
    </row>
    <row r="48" spans="1:11" s="162" customFormat="1" ht="13.8" x14ac:dyDescent="0.3">
      <c r="A48" s="329" t="s">
        <v>46</v>
      </c>
      <c r="B48" s="330">
        <v>266955888</v>
      </c>
      <c r="C48" s="330">
        <v>344838378</v>
      </c>
      <c r="D48" s="330">
        <v>431318511</v>
      </c>
      <c r="E48" s="330">
        <v>573960343</v>
      </c>
      <c r="F48" s="331">
        <v>715529630</v>
      </c>
      <c r="G48" s="331">
        <v>825650736.96000004</v>
      </c>
      <c r="H48" s="331">
        <f>H47+H45+H43+H20+H16</f>
        <v>874416356.06999993</v>
      </c>
      <c r="I48" s="331">
        <f>I47+I45+I43+I20+I16</f>
        <v>796793184</v>
      </c>
      <c r="J48" s="331">
        <v>718750642.74000001</v>
      </c>
      <c r="K48" s="331">
        <v>718750642.74000001</v>
      </c>
    </row>
    <row r="49" spans="1:11" s="162" customFormat="1" ht="13.8" x14ac:dyDescent="0.3">
      <c r="A49" s="168" t="s">
        <v>48</v>
      </c>
      <c r="B49" s="169">
        <v>102275988</v>
      </c>
      <c r="C49" s="169">
        <v>104309843</v>
      </c>
      <c r="D49" s="169">
        <v>121950028</v>
      </c>
      <c r="E49" s="170">
        <v>127732801</v>
      </c>
      <c r="F49" s="178">
        <v>148735529</v>
      </c>
      <c r="G49" s="178">
        <v>162190867</v>
      </c>
      <c r="H49" s="178">
        <v>175862608.30000001</v>
      </c>
      <c r="I49" s="178">
        <v>165089002</v>
      </c>
      <c r="J49" s="178">
        <v>137322189</v>
      </c>
      <c r="K49" s="178">
        <v>137322189</v>
      </c>
    </row>
    <row r="50" spans="1:11" s="162" customFormat="1" ht="13.8" x14ac:dyDescent="0.3">
      <c r="A50" s="168" t="s">
        <v>49</v>
      </c>
      <c r="B50" s="169">
        <v>38323809</v>
      </c>
      <c r="C50" s="169">
        <v>37568996</v>
      </c>
      <c r="D50" s="169">
        <v>44163214</v>
      </c>
      <c r="E50" s="170">
        <v>44799194</v>
      </c>
      <c r="F50" s="178">
        <v>49197493</v>
      </c>
      <c r="G50" s="178">
        <v>52250587</v>
      </c>
      <c r="H50" s="178">
        <v>55212059</v>
      </c>
      <c r="I50" s="178">
        <v>51995693</v>
      </c>
      <c r="J50" s="178">
        <v>41276899</v>
      </c>
      <c r="K50" s="178">
        <v>41276899</v>
      </c>
    </row>
    <row r="51" spans="1:11" s="162" customFormat="1" ht="13.8" x14ac:dyDescent="0.3">
      <c r="A51" s="168" t="s">
        <v>50</v>
      </c>
      <c r="B51" s="169">
        <v>2036705</v>
      </c>
      <c r="C51" s="169">
        <v>2001332</v>
      </c>
      <c r="D51" s="169">
        <v>2568258</v>
      </c>
      <c r="E51" s="170">
        <v>3253503</v>
      </c>
      <c r="F51" s="178">
        <v>3556686</v>
      </c>
      <c r="G51" s="178">
        <v>4230863</v>
      </c>
      <c r="H51" s="178">
        <v>5262243</v>
      </c>
      <c r="I51" s="178">
        <v>3929433</v>
      </c>
      <c r="J51" s="178">
        <v>4420402</v>
      </c>
      <c r="K51" s="178">
        <v>4420402</v>
      </c>
    </row>
    <row r="52" spans="1:11" s="162" customFormat="1" ht="13.8" x14ac:dyDescent="0.3">
      <c r="A52" s="168" t="s">
        <v>51</v>
      </c>
      <c r="B52" s="169">
        <v>6773128</v>
      </c>
      <c r="C52" s="169">
        <v>5797711</v>
      </c>
      <c r="D52" s="169">
        <v>7534686</v>
      </c>
      <c r="E52" s="170">
        <v>7085225</v>
      </c>
      <c r="F52" s="178">
        <v>7883743</v>
      </c>
      <c r="G52" s="178">
        <v>10370219</v>
      </c>
      <c r="H52" s="178">
        <v>10414421</v>
      </c>
      <c r="I52" s="178">
        <v>10201671</v>
      </c>
      <c r="J52" s="178">
        <v>8621819</v>
      </c>
      <c r="K52" s="178">
        <v>8621819</v>
      </c>
    </row>
    <row r="53" spans="1:11" s="162" customFormat="1" ht="13.8" x14ac:dyDescent="0.3">
      <c r="A53" s="168" t="s">
        <v>52</v>
      </c>
      <c r="B53" s="169">
        <v>7317759</v>
      </c>
      <c r="C53" s="169">
        <v>7955769</v>
      </c>
      <c r="D53" s="169">
        <v>10133979</v>
      </c>
      <c r="E53" s="170">
        <v>11553993</v>
      </c>
      <c r="F53" s="178">
        <v>12898882</v>
      </c>
      <c r="G53" s="178">
        <v>12744352</v>
      </c>
      <c r="H53" s="178">
        <v>11968447</v>
      </c>
      <c r="I53" s="178">
        <v>11916954</v>
      </c>
      <c r="J53" s="178">
        <v>7914264</v>
      </c>
      <c r="K53" s="178">
        <v>7914264</v>
      </c>
    </row>
    <row r="54" spans="1:11" s="162" customFormat="1" ht="13.8" x14ac:dyDescent="0.3">
      <c r="A54" s="168" t="s">
        <v>53</v>
      </c>
      <c r="B54" s="169">
        <v>299036</v>
      </c>
      <c r="C54" s="169">
        <v>196421</v>
      </c>
      <c r="D54" s="181">
        <v>87718</v>
      </c>
      <c r="E54" s="170">
        <v>46611</v>
      </c>
      <c r="F54" s="178">
        <v>18381</v>
      </c>
      <c r="G54" s="178">
        <v>13395</v>
      </c>
      <c r="H54" s="178">
        <v>5613</v>
      </c>
      <c r="I54" s="321">
        <v>0</v>
      </c>
      <c r="J54" s="178">
        <v>1279</v>
      </c>
      <c r="K54" s="178">
        <v>1279</v>
      </c>
    </row>
    <row r="55" spans="1:11" s="162" customFormat="1" ht="13.8" x14ac:dyDescent="0.3">
      <c r="A55" s="168" t="s">
        <v>54</v>
      </c>
      <c r="B55" s="169">
        <v>2515204</v>
      </c>
      <c r="C55" s="169">
        <v>2636906</v>
      </c>
      <c r="D55" s="169">
        <v>2976238</v>
      </c>
      <c r="E55" s="170">
        <v>3456404</v>
      </c>
      <c r="F55" s="178">
        <v>4443380</v>
      </c>
      <c r="G55" s="178">
        <v>5354758</v>
      </c>
      <c r="H55" s="178">
        <v>5715243</v>
      </c>
      <c r="I55" s="178">
        <v>4849295</v>
      </c>
      <c r="J55" s="178">
        <v>3819202</v>
      </c>
      <c r="K55" s="178">
        <v>3819202</v>
      </c>
    </row>
    <row r="56" spans="1:11" s="162" customFormat="1" ht="26.4" customHeight="1" x14ac:dyDescent="0.3">
      <c r="A56" s="182" t="s">
        <v>55</v>
      </c>
      <c r="B56" s="183">
        <v>199838</v>
      </c>
      <c r="C56" s="183">
        <v>200783</v>
      </c>
      <c r="D56" s="183">
        <v>263904</v>
      </c>
      <c r="E56" s="184">
        <v>467915</v>
      </c>
      <c r="F56" s="185">
        <v>327526</v>
      </c>
      <c r="G56" s="185">
        <v>377368</v>
      </c>
      <c r="H56" s="185">
        <v>414601</v>
      </c>
      <c r="I56" s="185">
        <v>417587.99999999994</v>
      </c>
      <c r="J56" s="178">
        <v>305450</v>
      </c>
      <c r="K56" s="178">
        <v>305450</v>
      </c>
    </row>
    <row r="57" spans="1:11" s="162" customFormat="1" ht="13.8" x14ac:dyDescent="0.3">
      <c r="A57" s="168" t="s">
        <v>56</v>
      </c>
      <c r="B57" s="177">
        <v>0</v>
      </c>
      <c r="C57" s="177">
        <v>0</v>
      </c>
      <c r="D57" s="177">
        <v>0</v>
      </c>
      <c r="E57" s="186">
        <v>0</v>
      </c>
      <c r="F57" s="187">
        <v>0</v>
      </c>
      <c r="G57" s="187">
        <v>0</v>
      </c>
      <c r="H57" s="187">
        <v>0</v>
      </c>
      <c r="I57" s="187">
        <v>0</v>
      </c>
      <c r="J57" s="187">
        <v>0</v>
      </c>
      <c r="K57" s="187">
        <v>0</v>
      </c>
    </row>
    <row r="58" spans="1:11" s="162" customFormat="1" ht="13.8" x14ac:dyDescent="0.3">
      <c r="A58" s="168" t="s">
        <v>57</v>
      </c>
      <c r="B58" s="177">
        <v>0</v>
      </c>
      <c r="C58" s="177">
        <v>0</v>
      </c>
      <c r="D58" s="177">
        <v>0</v>
      </c>
      <c r="E58" s="170">
        <v>24545331</v>
      </c>
      <c r="F58" s="178">
        <v>32706043</v>
      </c>
      <c r="G58" s="178">
        <v>47877350</v>
      </c>
      <c r="H58" s="178">
        <v>65743794</v>
      </c>
      <c r="I58" s="178">
        <v>52211095.999999993</v>
      </c>
      <c r="J58" s="178">
        <v>50283482</v>
      </c>
      <c r="K58" s="178">
        <v>50283482</v>
      </c>
    </row>
    <row r="59" spans="1:11" x14ac:dyDescent="0.3">
      <c r="A59" s="339" t="s">
        <v>47</v>
      </c>
      <c r="B59" s="192">
        <v>159741467</v>
      </c>
      <c r="C59" s="192">
        <v>160667761</v>
      </c>
      <c r="D59" s="192">
        <v>189678025</v>
      </c>
      <c r="E59" s="193">
        <v>222940977</v>
      </c>
      <c r="F59" s="191">
        <v>259767663</v>
      </c>
      <c r="G59" s="191">
        <v>295409759</v>
      </c>
      <c r="H59" s="191">
        <f>SUM(H49:H58)</f>
        <v>330599029.30000001</v>
      </c>
      <c r="I59" s="191">
        <f>SUM(I49:I58)</f>
        <v>300610732</v>
      </c>
      <c r="J59" s="191">
        <v>24490893</v>
      </c>
      <c r="K59" s="191">
        <v>24490893</v>
      </c>
    </row>
    <row r="60" spans="1:11" x14ac:dyDescent="0.3">
      <c r="A60" s="168" t="s">
        <v>60</v>
      </c>
      <c r="B60" s="169">
        <v>5360832</v>
      </c>
      <c r="C60" s="169">
        <v>5799283</v>
      </c>
      <c r="D60" s="169">
        <v>6316467</v>
      </c>
      <c r="E60" s="188">
        <v>6390272</v>
      </c>
      <c r="F60" s="171">
        <v>6613688</v>
      </c>
      <c r="G60" s="171">
        <v>7244532</v>
      </c>
      <c r="H60" s="171">
        <v>9709532.2300000004</v>
      </c>
      <c r="I60" s="171">
        <v>10140091</v>
      </c>
      <c r="J60" s="171">
        <v>10500700.27</v>
      </c>
      <c r="K60" s="171">
        <v>10500700.27</v>
      </c>
    </row>
    <row r="61" spans="1:11" x14ac:dyDescent="0.3">
      <c r="A61" s="168" t="s">
        <v>61</v>
      </c>
      <c r="B61" s="169">
        <v>65140407</v>
      </c>
      <c r="C61" s="169">
        <v>70616703</v>
      </c>
      <c r="D61" s="169">
        <v>74792185</v>
      </c>
      <c r="E61" s="188">
        <v>75816465</v>
      </c>
      <c r="F61" s="171">
        <v>79858926</v>
      </c>
      <c r="G61" s="171">
        <v>87811367</v>
      </c>
      <c r="H61" s="171">
        <v>109234714</v>
      </c>
      <c r="I61" s="171">
        <v>108295329</v>
      </c>
      <c r="J61" s="171">
        <v>93143305.879999995</v>
      </c>
      <c r="K61" s="171">
        <v>93143305.879999995</v>
      </c>
    </row>
    <row r="62" spans="1:11" x14ac:dyDescent="0.3">
      <c r="A62" s="339" t="s">
        <v>59</v>
      </c>
      <c r="B62" s="192">
        <v>70501239</v>
      </c>
      <c r="C62" s="192">
        <v>76415986</v>
      </c>
      <c r="D62" s="192">
        <v>81108652</v>
      </c>
      <c r="E62" s="193">
        <v>82206737</v>
      </c>
      <c r="F62" s="191">
        <v>86472614</v>
      </c>
      <c r="G62" s="191">
        <v>95055899</v>
      </c>
      <c r="H62" s="191">
        <f>SUM(H60:H61)</f>
        <v>118944246.23</v>
      </c>
      <c r="I62" s="191">
        <f>SUM(I60:I61)</f>
        <v>118435420</v>
      </c>
      <c r="J62" s="191">
        <v>103644006.15000001</v>
      </c>
      <c r="K62" s="191">
        <v>103644006.15000001</v>
      </c>
    </row>
    <row r="63" spans="1:11" x14ac:dyDescent="0.3">
      <c r="A63" s="340" t="s">
        <v>114</v>
      </c>
      <c r="B63" s="194">
        <v>0</v>
      </c>
      <c r="C63" s="194">
        <v>118116322</v>
      </c>
      <c r="D63" s="194">
        <v>134513969</v>
      </c>
      <c r="E63" s="195">
        <v>191447947</v>
      </c>
      <c r="F63" s="196">
        <v>108684348</v>
      </c>
      <c r="G63" s="196">
        <v>350202997.82999998</v>
      </c>
      <c r="H63" s="196">
        <v>99532466.409999996</v>
      </c>
      <c r="I63" s="324">
        <v>0</v>
      </c>
      <c r="J63" s="191">
        <v>69215161.349999994</v>
      </c>
      <c r="K63" s="191">
        <v>0</v>
      </c>
    </row>
    <row r="64" spans="1:11" x14ac:dyDescent="0.3">
      <c r="A64" s="332" t="s">
        <v>64</v>
      </c>
      <c r="B64" s="330">
        <v>230242706</v>
      </c>
      <c r="C64" s="330">
        <v>355200069</v>
      </c>
      <c r="D64" s="330">
        <v>405300646</v>
      </c>
      <c r="E64" s="333">
        <v>496595661</v>
      </c>
      <c r="F64" s="334">
        <v>454924625</v>
      </c>
      <c r="G64" s="334">
        <f>G63+G62+G59</f>
        <v>740668655.82999992</v>
      </c>
      <c r="H64" s="334">
        <f>H59+H62+H63</f>
        <v>549075741.94000006</v>
      </c>
      <c r="I64" s="334">
        <f>I59+I62+I63</f>
        <v>419046152</v>
      </c>
      <c r="J64" s="334">
        <v>426824153.49999994</v>
      </c>
      <c r="K64" s="334">
        <f>K62+K59</f>
        <v>128134899.15000001</v>
      </c>
    </row>
    <row r="65" spans="1:11" ht="4.95" customHeight="1" x14ac:dyDescent="0.3">
      <c r="A65" s="197"/>
      <c r="B65" s="169"/>
      <c r="C65" s="169"/>
      <c r="D65" s="169"/>
      <c r="E65" s="186"/>
      <c r="F65" s="187"/>
      <c r="G65" s="187"/>
      <c r="H65" s="187"/>
      <c r="I65" s="187"/>
      <c r="J65" s="187"/>
      <c r="K65" s="187"/>
    </row>
    <row r="66" spans="1:11" x14ac:dyDescent="0.3">
      <c r="A66" s="335" t="s">
        <v>67</v>
      </c>
      <c r="B66" s="336">
        <v>554269928</v>
      </c>
      <c r="C66" s="336">
        <v>708537244</v>
      </c>
      <c r="D66" s="336">
        <v>844780948</v>
      </c>
      <c r="E66" s="337">
        <v>1070556004</v>
      </c>
      <c r="F66" s="338">
        <v>1170454255</v>
      </c>
      <c r="G66" s="338">
        <f>+G64+G48</f>
        <v>1566319392.79</v>
      </c>
      <c r="H66" s="338">
        <f>H64+H48</f>
        <v>1423492098.01</v>
      </c>
      <c r="I66" s="338">
        <f>I64+I48</f>
        <v>1215839336</v>
      </c>
      <c r="J66" s="338">
        <v>1145574796.24</v>
      </c>
      <c r="K66" s="338">
        <v>844023965.38999999</v>
      </c>
    </row>
    <row r="67" spans="1:11" x14ac:dyDescent="0.3">
      <c r="A67" s="163"/>
      <c r="B67" s="198"/>
      <c r="C67" s="315">
        <f t="shared" ref="C67:K67" si="0">(C66-B66)/B66</f>
        <v>0.2783252494982914</v>
      </c>
      <c r="D67" s="315">
        <f t="shared" si="0"/>
        <v>0.19228869781191066</v>
      </c>
      <c r="E67" s="315">
        <f t="shared" si="0"/>
        <v>0.26725869769496741</v>
      </c>
      <c r="F67" s="315">
        <f t="shared" si="0"/>
        <v>9.3314362468420661E-2</v>
      </c>
      <c r="G67" s="315">
        <f t="shared" si="0"/>
        <v>0.33821495893489656</v>
      </c>
      <c r="H67" s="315">
        <f t="shared" si="0"/>
        <v>-9.118657116642695E-2</v>
      </c>
      <c r="I67" s="315">
        <f t="shared" si="0"/>
        <v>-0.14587559867757077</v>
      </c>
      <c r="J67" s="315">
        <f t="shared" si="0"/>
        <v>-5.7790974250893946E-2</v>
      </c>
      <c r="K67" s="315">
        <f t="shared" si="0"/>
        <v>-0.26323102763760925</v>
      </c>
    </row>
    <row r="68" spans="1:11" x14ac:dyDescent="0.3">
      <c r="A68" s="199" t="s">
        <v>110</v>
      </c>
      <c r="B68" s="163"/>
      <c r="C68" s="163"/>
      <c r="D68" s="163"/>
      <c r="E68" s="163"/>
    </row>
    <row r="69" spans="1:11" x14ac:dyDescent="0.3">
      <c r="A69" s="13" t="s">
        <v>111</v>
      </c>
    </row>
    <row r="70" spans="1:11" x14ac:dyDescent="0.3">
      <c r="A70" s="13" t="s">
        <v>112</v>
      </c>
    </row>
    <row r="71" spans="1:11" x14ac:dyDescent="0.3">
      <c r="A71" s="13" t="s">
        <v>116</v>
      </c>
    </row>
  </sheetData>
  <printOptions horizontalCentered="1"/>
  <pageMargins left="0.70866141732283472" right="0.70866141732283472" top="1.6853333333333333" bottom="0.74803149606299213" header="0.31496062992125984" footer="0.31496062992125984"/>
  <pageSetup scale="81" fitToHeight="0" orientation="portrait" r:id="rId1"/>
  <headerFooter>
    <oddHeader>&amp;C&amp;"Arial Narrow,Normal"&amp;10&amp;G
&amp;9SECRETARÍA DE TESORERÍA Y FINANZAS
DIRECCIÓN DE INGRESOS
&amp;"Arial Narrow,Negrita"AVANCE DE INGRESOS 2016-2019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REAL POR ARTICULO 2016</vt:lpstr>
      <vt:lpstr>REAL POR ARTICULO 2017</vt:lpstr>
      <vt:lpstr>REAL POR ARTICULO 2018</vt:lpstr>
      <vt:lpstr>ANALÍTICO</vt:lpstr>
      <vt:lpstr>avance periodo</vt:lpstr>
      <vt:lpstr>avance total</vt:lpstr>
      <vt:lpstr>avance mes</vt:lpstr>
      <vt:lpstr>TOTALES</vt:lpstr>
      <vt:lpstr>'avance mes'!Área_de_impresión</vt:lpstr>
      <vt:lpstr>'avance periodo'!Área_de_impresión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EndUser</dc:creator>
  <cp:lastModifiedBy>Teresa de Jesus Gonzalez Martinez</cp:lastModifiedBy>
  <cp:lastPrinted>2020-08-16T23:04:38Z</cp:lastPrinted>
  <dcterms:created xsi:type="dcterms:W3CDTF">2015-02-05T01:40:27Z</dcterms:created>
  <dcterms:modified xsi:type="dcterms:W3CDTF">2023-10-06T17:32:06Z</dcterms:modified>
</cp:coreProperties>
</file>